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ms-excel.sheet.macroEnabled.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6.xml" ContentType="application/vnd.openxmlformats-officedocument.drawing+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codeName="{00000000-0000-0000-0000-000000000000}"/>
  <workbookPr showInkAnnotation="0" codeName="ThisWorkbook" defaultThemeVersion="124226"/>
  <mc:AlternateContent xmlns:mc="http://schemas.openxmlformats.org/markup-compatibility/2006">
    <mc:Choice Requires="x15">
      <x15ac:absPath xmlns:x15ac="http://schemas.microsoft.com/office/spreadsheetml/2010/11/ac" url="https://rothoblaas.sharepoint.com/sites/dpt-tecd/Shared Documents/16_PROJECTS/049_Foglio Sharp/z_Publications/"/>
    </mc:Choice>
  </mc:AlternateContent>
  <xr:revisionPtr revIDLastSave="102" documentId="8_{FE242B37-31D0-4D5D-9D22-C9D8F0631BD7}" xr6:coauthVersionLast="47" xr6:coauthVersionMax="47" xr10:uidLastSave="{8B8C260E-6ACB-4E7E-88A4-87E338204216}"/>
  <workbookProtection workbookAlgorithmName="SHA-512" workbookHashValue="pMG2gmT/mQsb+R4jaHE0Hkr++SlyZn6heuRPBBkGMyIB0qmicw2kIKgT2QvamHJze30epxva5kXoThlpLPL4GA==" workbookSaltValue="w7zOoNDmSZ9BJr9xkIVEdQ==" workbookSpinCount="100000" lockStructure="1"/>
  <bookViews>
    <workbookView xWindow="-120" yWindow="-120" windowWidth="29040" windowHeight="15720" tabRatio="930" xr2:uid="{00000000-000D-0000-FFFF-FFFF00000000}"/>
  </bookViews>
  <sheets>
    <sheet name="CONDITIONS" sheetId="16" r:id="rId1"/>
    <sheet name="Len_DB" sheetId="17" state="veryHidden" r:id="rId2"/>
    <sheet name="Input" sheetId="6" state="veryHidden" r:id="rId3"/>
    <sheet name="RefText_DB" sheetId="22" state="veryHidden" r:id="rId4"/>
    <sheet name="Output" sheetId="23" state="veryHidden" r:id="rId5"/>
    <sheet name="Calculation Report" sheetId="4" state="veryHidden" r:id="rId6"/>
    <sheet name="EJeff" sheetId="12" state="veryHidden" r:id="rId7"/>
    <sheet name="sharp metal" sheetId="13" state="veryHidden" r:id="rId8"/>
    <sheet name="CLT panel" sheetId="11" state="veryHidden" r:id="rId9"/>
    <sheet name="Dati" sheetId="5" state="veryHidden" r:id="rId10"/>
  </sheets>
  <definedNames>
    <definedName name="_xlnm._FilterDatabase" localSheetId="2" hidden="1">Input!#REF!</definedName>
    <definedName name="_xleta.AND" hidden="1" xlm="1">#NAME?</definedName>
    <definedName name="_xleta.CONCAT" hidden="1" xlm="1">#NAME?</definedName>
    <definedName name="_xleta.COUNTIF" hidden="1" xlm="1">#NAME?</definedName>
    <definedName name="_xleta.IF" hidden="1" xlm="1">#NAME?</definedName>
    <definedName name="_xleta.LEFT" hidden="1" xlm="1">#NAME?</definedName>
    <definedName name="_xleta.MAX" hidden="1" xlm="1">#NAME?</definedName>
    <definedName name="_xleta.MIN" hidden="1" xlm="1">#NAME?</definedName>
    <definedName name="_xleta.T" hidden="1" xlm="1">#NAME?</definedName>
    <definedName name="_xleta.TEXT" hidden="1" xlm="1">#NAME?</definedName>
    <definedName name="_xleta.VALUETOTEXT" hidden="1" xlm="1">#NAME?</definedName>
    <definedName name="_xlnm.Print_Area" localSheetId="5">'Calculation Report'!$A$2:$M$540</definedName>
    <definedName name="_xlnm.Print_Area" localSheetId="0">CONDITIONS!$A$1:$F$65</definedName>
    <definedName name="_xlnm.Print_Area" localSheetId="2">Input!$A$1:$M$49</definedName>
    <definedName name="_xlnm.Print_Area" localSheetId="4">Output!$A$1:$M$82</definedName>
    <definedName name="Avis">#REF!</definedName>
    <definedName name="bt">#REF!</definedName>
    <definedName name="ciao">#REF!</definedName>
    <definedName name="def_lingua">INDEX(#REF!,MATCH(#REF!,#REF!,0))</definedName>
    <definedName name="Disposizioni">INDIRECT(#REF!)</definedName>
    <definedName name="DISTANZE_MIN">INDEX(#REF!,MATCH(#REF!,#REF!,0))</definedName>
    <definedName name="DOPPIA">#REF!</definedName>
    <definedName name="fcon">#REF!</definedName>
    <definedName name="hp">#REF!</definedName>
    <definedName name="it">#REF!</definedName>
    <definedName name="kcon">#REF!</definedName>
    <definedName name="kconu">#REF!</definedName>
    <definedName name="lt">#REF!</definedName>
    <definedName name="slim">#REF!</definedName>
    <definedName name="SUTA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6" i="4" l="1" a="1"/>
  <c r="D65" i="23"/>
  <c r="D1" i="23"/>
  <c r="B440" i="4" a="1"/>
  <c r="B514" i="4" a="1"/>
  <c r="B512" i="4" a="1"/>
  <c r="B510" i="4" a="1"/>
  <c r="B508" i="4" a="1"/>
  <c r="B506" i="4" a="1"/>
  <c r="B504" i="4" a="1"/>
  <c r="B502" i="4" a="1"/>
  <c r="B500" i="4" a="1"/>
  <c r="H494" i="4" a="1"/>
  <c r="E504" i="4"/>
  <c r="E496" i="4"/>
  <c r="E510" i="4" s="1"/>
  <c r="B498" i="4" a="1"/>
  <c r="B496" i="4" a="1"/>
  <c r="B494" i="4" a="1"/>
  <c r="B492" i="4" a="1"/>
  <c r="B490" i="4" a="1"/>
  <c r="J487" i="4"/>
  <c r="D487" i="4"/>
  <c r="H482" i="4" a="1"/>
  <c r="H479" i="4" a="1"/>
  <c r="B482" i="4" a="1"/>
  <c r="B479" i="4" a="1"/>
  <c r="H477" i="4" a="1"/>
  <c r="B477" i="4" a="1"/>
  <c r="B475" i="4" a="1"/>
  <c r="B442" i="4" a="1"/>
  <c r="B471" i="4" a="1"/>
  <c r="B463" i="4" a="1"/>
  <c r="B460" i="4" a="1"/>
  <c r="H457" i="4" a="1"/>
  <c r="B457" i="4" a="1"/>
  <c r="H455" i="4" a="1"/>
  <c r="B455" i="4" a="1"/>
  <c r="H453" i="4" a="1"/>
  <c r="B453" i="4" a="1"/>
  <c r="H446" i="4" a="1"/>
  <c r="B446" i="4" a="1"/>
  <c r="B435" i="4" a="1"/>
  <c r="B427" i="4" a="1"/>
  <c r="B424" i="4" a="1"/>
  <c r="B421" i="4" a="1"/>
  <c r="H421" i="4" a="1"/>
  <c r="H419" i="4" a="1"/>
  <c r="H417" i="4" a="1"/>
  <c r="B419" i="4" a="1"/>
  <c r="B417" i="4" a="1"/>
  <c r="B413" i="4" a="1"/>
  <c r="H415" i="4" a="1"/>
  <c r="B415" i="4" a="1"/>
  <c r="B411" i="4" a="1"/>
  <c r="B409" i="4" a="1"/>
  <c r="B407" i="4" a="1"/>
  <c r="B405" i="4" a="1"/>
  <c r="B403" i="4" a="1"/>
  <c r="B367" i="4" a="1"/>
  <c r="H398" i="4" a="1"/>
  <c r="B398" i="4" a="1"/>
  <c r="B396" i="4" a="1"/>
  <c r="H393" i="4" a="1"/>
  <c r="B393" i="4" a="1"/>
  <c r="B391" i="4" a="1"/>
  <c r="B386" i="4" a="1"/>
  <c r="H383" i="4" a="1"/>
  <c r="B383" i="4" a="1"/>
  <c r="H380" i="4" a="1"/>
  <c r="B380" i="4" a="1"/>
  <c r="H378" i="4" a="1"/>
  <c r="B378" i="4" a="1"/>
  <c r="H377" i="4" a="1"/>
  <c r="B377" i="4" a="1"/>
  <c r="H374" i="4" a="1"/>
  <c r="B374" i="4" a="1"/>
  <c r="H371" i="4" a="1"/>
  <c r="B371" i="4" a="1"/>
  <c r="H369" i="4" a="1"/>
  <c r="B369" i="4" a="1"/>
  <c r="B331" i="4" a="1"/>
  <c r="H362" i="4" a="1"/>
  <c r="B362" i="4" a="1"/>
  <c r="B360" i="4" a="1"/>
  <c r="H357" i="4" a="1"/>
  <c r="B357" i="4" a="1"/>
  <c r="B355" i="4" a="1"/>
  <c r="B350" i="4" a="1"/>
  <c r="H347" i="4" a="1"/>
  <c r="B347" i="4" a="1"/>
  <c r="H344" i="4" a="1"/>
  <c r="B344" i="4" a="1"/>
  <c r="H342" i="4" a="1"/>
  <c r="B342" i="4" a="1"/>
  <c r="H341" i="4" a="1"/>
  <c r="B341" i="4" a="1"/>
  <c r="H338" i="4" a="1"/>
  <c r="B338" i="4" a="1"/>
  <c r="H335" i="4" a="1"/>
  <c r="B335" i="4" a="1"/>
  <c r="H333" i="4" a="1"/>
  <c r="B333" i="4" a="1"/>
  <c r="H326" i="4" a="1"/>
  <c r="H321" i="4" a="1"/>
  <c r="B324" i="4" a="1"/>
  <c r="B326" i="4" a="1"/>
  <c r="B321" i="4" a="1"/>
  <c r="B319" i="4" a="1"/>
  <c r="H311" i="4" a="1"/>
  <c r="H308" i="4" a="1"/>
  <c r="H306" i="4" a="1"/>
  <c r="H305" i="4" a="1"/>
  <c r="H302" i="4" a="1"/>
  <c r="H299" i="4" a="1"/>
  <c r="B314" i="4" a="1"/>
  <c r="B311" i="4" a="1"/>
  <c r="B20" i="12"/>
  <c r="N4" i="11"/>
  <c r="N5" i="11"/>
  <c r="N6" i="11"/>
  <c r="N7"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O4" i="11"/>
  <c r="P4" i="11"/>
  <c r="O5" i="11"/>
  <c r="P5" i="11"/>
  <c r="O6" i="11"/>
  <c r="P6" i="11"/>
  <c r="O7" i="11"/>
  <c r="P7" i="11"/>
  <c r="O8" i="11"/>
  <c r="P8" i="11"/>
  <c r="O9" i="11"/>
  <c r="P9" i="11"/>
  <c r="O10" i="11"/>
  <c r="P10" i="11"/>
  <c r="O11" i="11"/>
  <c r="P11" i="11"/>
  <c r="O12" i="11"/>
  <c r="P12" i="11"/>
  <c r="O13" i="11"/>
  <c r="P13" i="11"/>
  <c r="O14" i="11"/>
  <c r="P14" i="11"/>
  <c r="O15" i="11"/>
  <c r="P15" i="11"/>
  <c r="O16" i="11"/>
  <c r="P16" i="11"/>
  <c r="O17" i="11"/>
  <c r="P17" i="11"/>
  <c r="O18" i="11"/>
  <c r="P18" i="11"/>
  <c r="O19" i="11"/>
  <c r="P19" i="11"/>
  <c r="O20" i="11"/>
  <c r="P20" i="11"/>
  <c r="O21" i="11"/>
  <c r="P21" i="11"/>
  <c r="O22" i="11"/>
  <c r="P22" i="11"/>
  <c r="O23" i="11"/>
  <c r="P23" i="11"/>
  <c r="O24" i="11"/>
  <c r="P24" i="11"/>
  <c r="O25" i="11"/>
  <c r="P25" i="11"/>
  <c r="O26" i="11"/>
  <c r="P26" i="11"/>
  <c r="O27" i="11"/>
  <c r="P27" i="11"/>
  <c r="O28" i="11"/>
  <c r="P28" i="11"/>
  <c r="O29" i="11"/>
  <c r="P29" i="11"/>
  <c r="O30" i="11"/>
  <c r="P30" i="11"/>
  <c r="O31" i="11"/>
  <c r="P31" i="11"/>
  <c r="O32" i="11"/>
  <c r="P32" i="11"/>
  <c r="O33" i="11"/>
  <c r="P33" i="11"/>
  <c r="O34" i="11"/>
  <c r="P34" i="11"/>
  <c r="O35" i="11"/>
  <c r="P35" i="11"/>
  <c r="O36" i="11"/>
  <c r="P36" i="11"/>
  <c r="O37" i="11"/>
  <c r="P37" i="11"/>
  <c r="O38" i="11"/>
  <c r="P38" i="11"/>
  <c r="O39" i="11"/>
  <c r="P39" i="11"/>
  <c r="O40" i="11"/>
  <c r="P40" i="11"/>
  <c r="O41" i="11"/>
  <c r="P41" i="11"/>
  <c r="O42" i="11"/>
  <c r="P42" i="11"/>
  <c r="O43" i="11"/>
  <c r="P43" i="11"/>
  <c r="O44" i="11"/>
  <c r="P44" i="11"/>
  <c r="O45" i="11"/>
  <c r="P45" i="11"/>
  <c r="O46" i="11"/>
  <c r="P46" i="11"/>
  <c r="O47" i="11"/>
  <c r="P47" i="11"/>
  <c r="O48" i="11"/>
  <c r="P48" i="11"/>
  <c r="S43" i="11"/>
  <c r="E46" i="11"/>
  <c r="D48" i="11"/>
  <c r="B10" i="12"/>
  <c r="F5" i="12" s="1"/>
  <c r="B11" i="12"/>
  <c r="B12" i="12"/>
  <c r="B13" i="12"/>
  <c r="B14" i="12"/>
  <c r="B19" i="12"/>
  <c r="B18" i="12"/>
  <c r="B17" i="12"/>
  <c r="B16" i="12"/>
  <c r="B15" i="12"/>
  <c r="M4" i="11"/>
  <c r="M43" i="11"/>
  <c r="M44" i="11"/>
  <c r="M45" i="11"/>
  <c r="M46" i="11"/>
  <c r="M47" i="11"/>
  <c r="M48" i="11"/>
  <c r="M23" i="11"/>
  <c r="M24" i="11"/>
  <c r="M25" i="11"/>
  <c r="M26" i="11"/>
  <c r="M27" i="11"/>
  <c r="M28" i="11"/>
  <c r="M29" i="11"/>
  <c r="M30" i="11"/>
  <c r="M31" i="11"/>
  <c r="M32" i="11"/>
  <c r="M33" i="11"/>
  <c r="M34" i="11"/>
  <c r="M35" i="11"/>
  <c r="M36" i="11"/>
  <c r="M37" i="11"/>
  <c r="M38" i="11"/>
  <c r="M39" i="11"/>
  <c r="M40" i="11"/>
  <c r="M41" i="11"/>
  <c r="M42" i="11"/>
  <c r="M5" i="11"/>
  <c r="M6" i="11"/>
  <c r="M7" i="11"/>
  <c r="M8" i="11"/>
  <c r="M9" i="11"/>
  <c r="M10" i="11"/>
  <c r="M11" i="11"/>
  <c r="M12" i="11"/>
  <c r="M13" i="11"/>
  <c r="M14" i="11"/>
  <c r="M15" i="11"/>
  <c r="M16" i="11"/>
  <c r="M17" i="11"/>
  <c r="M18" i="11"/>
  <c r="M19" i="11"/>
  <c r="M20" i="11"/>
  <c r="M21" i="11"/>
  <c r="M22" i="11"/>
  <c r="H288" i="4" a="1"/>
  <c r="H284" i="4" a="1"/>
  <c r="H274" i="4" a="1"/>
  <c r="H272" i="4" a="1"/>
  <c r="H270" i="4" a="1"/>
  <c r="H269" i="4" a="1"/>
  <c r="H267" i="4" a="1"/>
  <c r="H265" i="4" a="1"/>
  <c r="H264" i="4" a="1"/>
  <c r="H260" i="4" a="1"/>
  <c r="H258" i="4" a="1"/>
  <c r="H257" i="4" a="1"/>
  <c r="H252" i="4" a="1"/>
  <c r="H250" i="4" a="1"/>
  <c r="H243" i="4" a="1"/>
  <c r="H239" i="4" a="1"/>
  <c r="H229" i="4" a="1"/>
  <c r="H227" i="4" a="1"/>
  <c r="H225" i="4" a="1"/>
  <c r="H224" i="4" a="1"/>
  <c r="H222" i="4" a="1"/>
  <c r="H220" i="4" a="1"/>
  <c r="H219" i="4" a="1"/>
  <c r="H215" i="4" a="1"/>
  <c r="H213" i="4" a="1"/>
  <c r="H212" i="4" a="1"/>
  <c r="H207" i="4" a="1"/>
  <c r="H205" i="4" a="1"/>
  <c r="H170" i="4" a="1"/>
  <c r="H200" i="4" a="1"/>
  <c r="H192" i="4" a="1"/>
  <c r="H189" i="4" a="1"/>
  <c r="H187" i="4" a="1"/>
  <c r="H185" i="4" a="1"/>
  <c r="H184" i="4" a="1"/>
  <c r="H182" i="4" a="1"/>
  <c r="H180" i="4" a="1"/>
  <c r="H179" i="4" a="1"/>
  <c r="H177" i="4" a="1"/>
  <c r="H175" i="4" a="1"/>
  <c r="H174" i="4" a="1"/>
  <c r="H172" i="4" a="1"/>
  <c r="B308" i="4" a="1"/>
  <c r="B306" i="4" a="1"/>
  <c r="B305" i="4" a="1"/>
  <c r="B302" i="4" a="1"/>
  <c r="B299" i="4" a="1"/>
  <c r="B295" i="4" a="1"/>
  <c r="H297" i="4" a="1"/>
  <c r="B297" i="4" a="1"/>
  <c r="C49" i="16"/>
  <c r="B250" i="4" a="1"/>
  <c r="B288" i="4" a="1"/>
  <c r="B284" i="4" a="1"/>
  <c r="B274" i="4" a="1"/>
  <c r="B272" i="4" a="1"/>
  <c r="B270" i="4" a="1"/>
  <c r="B269" i="4" a="1"/>
  <c r="B267" i="4" a="1"/>
  <c r="B265" i="4" a="1"/>
  <c r="B258" i="4" a="1"/>
  <c r="B264" i="4" a="1"/>
  <c r="B257" i="4" a="1"/>
  <c r="B260" i="4" a="1"/>
  <c r="B252" i="4" a="1"/>
  <c r="B243" i="4" a="1"/>
  <c r="B229" i="4" a="1"/>
  <c r="B227" i="4" a="1"/>
  <c r="B239" i="4" a="1"/>
  <c r="B225" i="4" a="1"/>
  <c r="B224" i="4" a="1"/>
  <c r="B222" i="4" a="1"/>
  <c r="B220" i="4" a="1"/>
  <c r="B219" i="4" a="1"/>
  <c r="B213" i="4" a="1"/>
  <c r="B212" i="4" a="1"/>
  <c r="B205" i="4" a="1"/>
  <c r="B215" i="4" a="1"/>
  <c r="B207" i="4" a="1"/>
  <c r="B200" i="4" a="1"/>
  <c r="B192" i="4" a="1"/>
  <c r="B189" i="4" a="1"/>
  <c r="B187" i="4" a="1"/>
  <c r="B185" i="4" a="1"/>
  <c r="B184" i="4" a="1"/>
  <c r="B182" i="4" a="1"/>
  <c r="B180" i="4" a="1"/>
  <c r="B179" i="4" a="1"/>
  <c r="B175" i="4" a="1"/>
  <c r="B174" i="4" a="1"/>
  <c r="B177" i="4" a="1"/>
  <c r="B172" i="4" a="1"/>
  <c r="B170" i="4" a="1"/>
  <c r="B168" i="4" a="1"/>
  <c r="B167" i="4" a="1"/>
  <c r="H168" i="4" a="1"/>
  <c r="H167" i="4" a="1"/>
  <c r="B165" i="4" a="1"/>
  <c r="B161" i="4" a="1"/>
  <c r="B160" i="4" a="1"/>
  <c r="B158" i="4" a="1"/>
  <c r="B157" i="4" a="1"/>
  <c r="B155" i="4" a="1"/>
  <c r="B148" i="4" a="1"/>
  <c r="B145" i="4" a="1"/>
  <c r="H145" i="4" a="1"/>
  <c r="B143" i="4" a="1"/>
  <c r="B142" i="4" a="1"/>
  <c r="B141" i="4" a="1"/>
  <c r="H143" i="4" a="1"/>
  <c r="H142" i="4" a="1"/>
  <c r="H141" i="4" a="1"/>
  <c r="E117" i="4"/>
  <c r="K133" i="4"/>
  <c r="E137" i="4"/>
  <c r="E135" i="4"/>
  <c r="B135" i="4" a="1"/>
  <c r="E133" i="4"/>
  <c r="B133" i="4" a="1"/>
  <c r="B131" i="4" a="1"/>
  <c r="K137" i="4"/>
  <c r="K135" i="4"/>
  <c r="H135" i="4" a="1"/>
  <c r="H133" i="4" a="1"/>
  <c r="H131" i="4" a="1"/>
  <c r="B127" i="4" a="1"/>
  <c r="H127" i="4" a="1"/>
  <c r="B129" i="4"/>
  <c r="H129" i="4"/>
  <c r="B125" i="4" a="1"/>
  <c r="H125" i="4" a="1"/>
  <c r="H117" i="4" a="1"/>
  <c r="H116" i="4" a="1"/>
  <c r="B123" i="4" a="1"/>
  <c r="B119" i="4" a="1"/>
  <c r="B114" i="4" a="1"/>
  <c r="H114" i="4" a="1"/>
  <c r="B117" i="4" a="1"/>
  <c r="B116" i="4" a="1"/>
  <c r="B112" i="4" a="1"/>
  <c r="C107" i="4"/>
  <c r="C103" i="4"/>
  <c r="C104" i="4"/>
  <c r="C105" i="4"/>
  <c r="C102" i="4"/>
  <c r="C100" i="4"/>
  <c r="B93" i="4" a="1"/>
  <c r="B89" i="4" a="1"/>
  <c r="B87" i="4" a="1"/>
  <c r="B71" i="4" a="1"/>
  <c r="B67" i="4" a="1"/>
  <c r="B65" i="4" a="1"/>
  <c r="B60" i="4" a="1"/>
  <c r="B59" i="4" a="1"/>
  <c r="B58" i="4" a="1"/>
  <c r="B56" i="4" a="1"/>
  <c r="I50" i="4"/>
  <c r="H52" i="4" a="1"/>
  <c r="H50" i="4" a="1"/>
  <c r="B52" i="4" a="1"/>
  <c r="B51" i="4" a="1"/>
  <c r="B50" i="4" a="1"/>
  <c r="B48" i="4" a="1"/>
  <c r="H46" i="4" a="1"/>
  <c r="H45" i="4" a="1"/>
  <c r="H43" i="4" a="1"/>
  <c r="H41" i="4" a="1"/>
  <c r="B46" i="4" a="1"/>
  <c r="B45" i="4" a="1"/>
  <c r="B43" i="4" a="1"/>
  <c r="B41" i="4" a="1"/>
  <c r="H39" i="4" a="1"/>
  <c r="B39" i="4" a="1"/>
  <c r="I41" i="4"/>
  <c r="K43" i="4" s="1"/>
  <c r="C41" i="4"/>
  <c r="E43" i="4" s="1"/>
  <c r="B35" i="4" a="1"/>
  <c r="C7" i="23"/>
  <c r="C9" i="23"/>
  <c r="I26" i="4" a="1"/>
  <c r="I24" i="4"/>
  <c r="D28" i="4"/>
  <c r="D24" i="4"/>
  <c r="D17" i="4"/>
  <c r="I22" i="4" a="1"/>
  <c r="D26" i="4" a="1"/>
  <c r="J13" i="4"/>
  <c r="D22" i="4" a="1"/>
  <c r="C7" i="4" a="1"/>
  <c r="C16" i="16"/>
  <c r="D6" i="16"/>
  <c r="B3" i="6" a="1"/>
  <c r="B3" i="23" s="1"/>
  <c r="B5" i="6" a="1"/>
  <c r="B5" i="23" s="1"/>
  <c r="C5" i="6"/>
  <c r="H5" i="6" a="1"/>
  <c r="B6" i="6" a="1"/>
  <c r="B6" i="23" s="1"/>
  <c r="H6" i="6" a="1"/>
  <c r="B7" i="6" a="1"/>
  <c r="B7" i="23" s="1"/>
  <c r="B8" i="6" a="1"/>
  <c r="B8" i="23" s="1"/>
  <c r="B9" i="6" a="1"/>
  <c r="B9" i="23" s="1"/>
  <c r="B10" i="6" a="1"/>
  <c r="B10" i="23" s="1"/>
  <c r="B12" i="6" a="1"/>
  <c r="B14" i="6" a="1"/>
  <c r="H14" i="6" a="1"/>
  <c r="B15" i="6" a="1"/>
  <c r="H15" i="6" a="1"/>
  <c r="B16" i="6" a="1"/>
  <c r="B18" i="6" a="1"/>
  <c r="B20" i="6" a="1"/>
  <c r="H20" i="6" a="1"/>
  <c r="B22" i="6" a="1"/>
  <c r="H22" i="6" a="1"/>
  <c r="B24" i="6" a="1"/>
  <c r="B26" i="6" a="1"/>
  <c r="H26" i="6" a="1"/>
  <c r="B28" i="6" a="1"/>
  <c r="H28" i="6" a="1"/>
  <c r="B29" i="6" a="1"/>
  <c r="H29" i="6" a="1"/>
  <c r="B30" i="6" a="1"/>
  <c r="H30" i="6" a="1"/>
  <c r="B31" i="6" a="1"/>
  <c r="B33" i="6" a="1"/>
  <c r="B37" i="6" a="1"/>
  <c r="B39" i="6" a="1"/>
  <c r="H39" i="6" a="1"/>
  <c r="B41" i="6" a="1"/>
  <c r="H41" i="6" a="1"/>
  <c r="B42" i="6" a="1"/>
  <c r="E42" i="6"/>
  <c r="K131" i="4" s="1"/>
  <c r="B37" i="4" s="1"/>
  <c r="H42" i="6" a="1"/>
  <c r="K42" i="6"/>
  <c r="E131" i="4" s="1"/>
  <c r="K37" i="4" s="1"/>
  <c r="B43" i="6" a="1"/>
  <c r="H43" i="6" a="1"/>
  <c r="B44" i="6" a="1"/>
  <c r="H44" i="6" a="1"/>
  <c r="E45" i="6"/>
  <c r="K136" i="4" s="1"/>
  <c r="K45" i="6"/>
  <c r="E136" i="4" s="1"/>
  <c r="E46" i="6"/>
  <c r="K46" i="6"/>
  <c r="I5" i="23"/>
  <c r="I6" i="23"/>
  <c r="C10" i="23"/>
  <c r="H6" i="23" a="1"/>
  <c r="H5" i="23" a="1"/>
  <c r="H79" i="23" a="1"/>
  <c r="B79" i="23"/>
  <c r="H75" i="23" a="1"/>
  <c r="B75" i="23" a="1"/>
  <c r="E73" i="23"/>
  <c r="B73" i="23" a="1"/>
  <c r="B72" i="23" a="1"/>
  <c r="H71" i="23" a="1"/>
  <c r="B71" i="23" a="1"/>
  <c r="B67" i="23" a="1"/>
  <c r="J63" i="23"/>
  <c r="K487" i="4" s="1"/>
  <c r="B63" i="23" a="1"/>
  <c r="B61" i="23" a="1"/>
  <c r="B57" i="23" a="1"/>
  <c r="J55" i="23"/>
  <c r="E487" i="4" s="1"/>
  <c r="B55" i="23" a="1"/>
  <c r="B53" i="23" a="1"/>
  <c r="B49" i="23" a="1"/>
  <c r="B47" i="23" a="1"/>
  <c r="B44" i="23" a="1"/>
  <c r="B41" i="23" a="1"/>
  <c r="H39" i="23" a="1"/>
  <c r="B39" i="23" a="1"/>
  <c r="H38" i="23" a="1"/>
  <c r="B38" i="23" a="1"/>
  <c r="H35" i="23" a="1"/>
  <c r="B35" i="23" a="1"/>
  <c r="H34" i="23" a="1"/>
  <c r="B34" i="23" a="1"/>
  <c r="H31" i="23" a="1"/>
  <c r="B31" i="23" a="1"/>
  <c r="B27" i="23" a="1"/>
  <c r="B25" i="23" a="1"/>
  <c r="B22" i="23" a="1"/>
  <c r="H20" i="23" a="1"/>
  <c r="B20" i="23" a="1"/>
  <c r="H19" i="23" a="1"/>
  <c r="B19" i="23" a="1"/>
  <c r="H16" i="23" a="1"/>
  <c r="B16" i="23" a="1"/>
  <c r="B12" i="23" a="1"/>
  <c r="B17" i="22"/>
  <c r="B16" i="22"/>
  <c r="B15" i="22"/>
  <c r="K152" i="4"/>
  <c r="K151" i="4"/>
  <c r="K150" i="4"/>
  <c r="I3" i="12"/>
  <c r="G3" i="12"/>
  <c r="F3" i="12"/>
  <c r="E3" i="12"/>
  <c r="B3" i="12"/>
  <c r="E58" i="4"/>
  <c r="C95" i="4"/>
  <c r="C96" i="4"/>
  <c r="C97" i="4"/>
  <c r="C98" i="4"/>
  <c r="C99" i="4"/>
  <c r="C94" i="4"/>
  <c r="S5" i="5"/>
  <c r="S6" i="5"/>
  <c r="S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 i="5"/>
  <c r="C80" i="4"/>
  <c r="C81" i="4"/>
  <c r="C82" i="4"/>
  <c r="C83" i="4"/>
  <c r="C78" i="4"/>
  <c r="C85" i="4"/>
  <c r="C73" i="4"/>
  <c r="C74" i="4"/>
  <c r="C75" i="4"/>
  <c r="C76" i="4"/>
  <c r="C77" i="4"/>
  <c r="C72" i="4"/>
  <c r="F152" i="4"/>
  <c r="F151" i="4"/>
  <c r="K117" i="4"/>
  <c r="G4" i="13"/>
  <c r="C4" i="13"/>
  <c r="G6" i="13"/>
  <c r="C6" i="13"/>
  <c r="E119" i="4"/>
  <c r="K116" i="4"/>
  <c r="C67" i="4"/>
  <c r="I52" i="4"/>
  <c r="A66" i="16"/>
  <c r="C63" i="16"/>
  <c r="B61" i="16"/>
  <c r="C59" i="16"/>
  <c r="B57" i="16"/>
  <c r="C54" i="16"/>
  <c r="B52" i="16"/>
  <c r="B47" i="16"/>
  <c r="C45" i="16"/>
  <c r="B43" i="16"/>
  <c r="C41" i="16"/>
  <c r="B39" i="16"/>
  <c r="C37" i="16"/>
  <c r="B35" i="16"/>
  <c r="C33" i="16"/>
  <c r="B31" i="16"/>
  <c r="C29" i="16"/>
  <c r="B27" i="16"/>
  <c r="C24" i="16"/>
  <c r="B22" i="16"/>
  <c r="C20" i="16"/>
  <c r="B18" i="16"/>
  <c r="B14" i="16"/>
  <c r="C7" i="16"/>
  <c r="E2" i="16"/>
  <c r="C89" i="4"/>
  <c r="N65" i="5"/>
  <c r="M65" i="5"/>
  <c r="L65" i="5"/>
  <c r="K65" i="5"/>
  <c r="J65" i="5"/>
  <c r="N64" i="5"/>
  <c r="M64" i="5"/>
  <c r="L64" i="5"/>
  <c r="K64" i="5"/>
  <c r="J64" i="5"/>
  <c r="N63" i="5"/>
  <c r="M63" i="5"/>
  <c r="L63" i="5"/>
  <c r="K63" i="5"/>
  <c r="J63" i="5"/>
  <c r="A82" i="5" a="1"/>
  <c r="A81" i="5" a="1"/>
  <c r="A80" i="5" a="1"/>
  <c r="A79" i="5" a="1"/>
  <c r="A78" i="5" a="1"/>
  <c r="E52" i="4"/>
  <c r="E51" i="4"/>
  <c r="E50" i="4"/>
  <c r="E492" i="4"/>
  <c r="G7" i="13"/>
  <c r="C7" i="13"/>
  <c r="N3" i="12"/>
  <c r="I68" i="4" l="1"/>
  <c r="E150" i="4"/>
  <c r="E210" i="4" s="1"/>
  <c r="C10" i="12"/>
  <c r="D10" i="12" s="1"/>
  <c r="D20" i="12" s="1"/>
  <c r="C11" i="12"/>
  <c r="C12" i="12"/>
  <c r="C13" i="12"/>
  <c r="C14" i="12"/>
  <c r="C15" i="12"/>
  <c r="C16" i="12"/>
  <c r="C18" i="12"/>
  <c r="C19" i="12"/>
  <c r="C20" i="12"/>
  <c r="C17" i="12"/>
  <c r="K254" i="4"/>
  <c r="E254" i="4"/>
  <c r="E11" i="11"/>
  <c r="E39" i="11"/>
  <c r="E16" i="11"/>
  <c r="E31" i="11"/>
  <c r="E35" i="11"/>
  <c r="E37" i="11"/>
  <c r="E14" i="11"/>
  <c r="E17" i="11"/>
  <c r="E21" i="11"/>
  <c r="E36" i="11"/>
  <c r="E41" i="11"/>
  <c r="E6" i="11"/>
  <c r="E5" i="11"/>
  <c r="E13" i="11"/>
  <c r="E15" i="11"/>
  <c r="E38" i="11"/>
  <c r="E12" i="11"/>
  <c r="E43" i="11"/>
  <c r="E40" i="11"/>
  <c r="E47" i="11"/>
  <c r="E48" i="11"/>
  <c r="F48" i="11" s="1"/>
  <c r="E22" i="11"/>
  <c r="E30" i="11"/>
  <c r="E34" i="11"/>
  <c r="E9" i="11"/>
  <c r="E18" i="11"/>
  <c r="E4" i="11"/>
  <c r="E32" i="11"/>
  <c r="E42" i="11"/>
  <c r="E7" i="11"/>
  <c r="E20" i="11"/>
  <c r="E8" i="11"/>
  <c r="E19" i="11"/>
  <c r="S37" i="11"/>
  <c r="S38" i="11"/>
  <c r="D39" i="11"/>
  <c r="F39" i="11" s="1"/>
  <c r="S39" i="11"/>
  <c r="D12" i="11"/>
  <c r="F12" i="11" s="1"/>
  <c r="D43" i="11"/>
  <c r="S44" i="11"/>
  <c r="E44" i="11"/>
  <c r="S45" i="11"/>
  <c r="E45" i="11"/>
  <c r="S23" i="11"/>
  <c r="E23" i="11"/>
  <c r="S24" i="11"/>
  <c r="E24" i="11"/>
  <c r="E25" i="11"/>
  <c r="S25" i="11"/>
  <c r="S26" i="11"/>
  <c r="E26" i="11"/>
  <c r="E27" i="11"/>
  <c r="S27" i="11"/>
  <c r="S28" i="11"/>
  <c r="E28" i="11"/>
  <c r="S29" i="11"/>
  <c r="E29" i="11"/>
  <c r="D33" i="11"/>
  <c r="S33" i="11"/>
  <c r="E33" i="11"/>
  <c r="D10" i="11"/>
  <c r="E10" i="11"/>
  <c r="D4" i="11"/>
  <c r="F4" i="11" s="1"/>
  <c r="D23" i="11"/>
  <c r="D24" i="11"/>
  <c r="D25" i="11"/>
  <c r="D26" i="11"/>
  <c r="D27" i="11"/>
  <c r="D28" i="11"/>
  <c r="D38" i="11"/>
  <c r="F38" i="11" s="1"/>
  <c r="D29" i="11"/>
  <c r="D11" i="11"/>
  <c r="F11" i="11" s="1"/>
  <c r="D5" i="11"/>
  <c r="F5" i="11" s="1"/>
  <c r="D6" i="11"/>
  <c r="F6" i="11" s="1"/>
  <c r="D7" i="11"/>
  <c r="D8" i="11"/>
  <c r="D37" i="11"/>
  <c r="F37" i="11" s="1"/>
  <c r="D9" i="11"/>
  <c r="S34" i="11"/>
  <c r="D34" i="11"/>
  <c r="D35" i="11"/>
  <c r="F35" i="11" s="1"/>
  <c r="S35" i="11"/>
  <c r="D36" i="11"/>
  <c r="F36" i="11" s="1"/>
  <c r="S36" i="11"/>
  <c r="D44" i="11"/>
  <c r="D45" i="11"/>
  <c r="D46" i="11"/>
  <c r="F46" i="11" s="1"/>
  <c r="S46" i="11"/>
  <c r="D47" i="11"/>
  <c r="F47" i="11" s="1"/>
  <c r="S47" i="11"/>
  <c r="D30" i="11"/>
  <c r="S30" i="11"/>
  <c r="S31" i="11"/>
  <c r="D31" i="11"/>
  <c r="F31" i="11" s="1"/>
  <c r="D32" i="11"/>
  <c r="S32" i="11"/>
  <c r="S40" i="11"/>
  <c r="D40" i="11"/>
  <c r="S41" i="11"/>
  <c r="D41" i="11"/>
  <c r="F41" i="11" s="1"/>
  <c r="D42" i="11"/>
  <c r="F42" i="11" s="1"/>
  <c r="S42" i="11"/>
  <c r="D13" i="11"/>
  <c r="F13" i="11" s="1"/>
  <c r="S13" i="11"/>
  <c r="D14" i="11"/>
  <c r="S14" i="11"/>
  <c r="S15" i="11"/>
  <c r="D15" i="11"/>
  <c r="D16" i="11"/>
  <c r="F16" i="11" s="1"/>
  <c r="S16" i="11"/>
  <c r="S17" i="11"/>
  <c r="D17" i="11"/>
  <c r="F17" i="11" s="1"/>
  <c r="D18" i="11"/>
  <c r="F18" i="11" s="1"/>
  <c r="S18" i="11"/>
  <c r="S19" i="11"/>
  <c r="D19" i="11"/>
  <c r="D20" i="11"/>
  <c r="S20" i="11"/>
  <c r="S21" i="11"/>
  <c r="D21" i="11"/>
  <c r="F21" i="11" s="1"/>
  <c r="D22" i="11"/>
  <c r="F22" i="11" s="1"/>
  <c r="S22" i="11"/>
  <c r="K180" i="4"/>
  <c r="K179" i="4"/>
  <c r="E180" i="4"/>
  <c r="E179" i="4"/>
  <c r="E152" i="4"/>
  <c r="K28" i="6"/>
  <c r="K118" i="4" s="1"/>
  <c r="I67" i="4"/>
  <c r="C6" i="23"/>
  <c r="I28" i="4"/>
  <c r="D15" i="4"/>
  <c r="C8" i="23"/>
  <c r="C5" i="23"/>
  <c r="K11" i="4"/>
  <c r="G11" i="13"/>
  <c r="G8" i="13"/>
  <c r="G9" i="13" s="1"/>
  <c r="C11" i="13"/>
  <c r="C8" i="13"/>
  <c r="C9" i="13" s="1"/>
  <c r="H20" i="12"/>
  <c r="G19" i="12"/>
  <c r="H18" i="12"/>
  <c r="G17" i="12"/>
  <c r="H16" i="12"/>
  <c r="G15" i="12"/>
  <c r="H14" i="12"/>
  <c r="G13" i="12"/>
  <c r="H12" i="12"/>
  <c r="G11" i="12"/>
  <c r="H10" i="12"/>
  <c r="I90" i="4"/>
  <c r="H15" i="12"/>
  <c r="G12" i="12"/>
  <c r="H11" i="12"/>
  <c r="G10" i="12"/>
  <c r="G18" i="12"/>
  <c r="H17" i="12"/>
  <c r="H13" i="12"/>
  <c r="G14" i="12"/>
  <c r="G16" i="12"/>
  <c r="G20" i="12"/>
  <c r="H19" i="12"/>
  <c r="F14" i="12"/>
  <c r="F10" i="12"/>
  <c r="E13" i="12"/>
  <c r="E17" i="12"/>
  <c r="F16" i="12"/>
  <c r="F20" i="12"/>
  <c r="E11" i="12"/>
  <c r="E15" i="12"/>
  <c r="E19" i="12"/>
  <c r="F12" i="12"/>
  <c r="F18" i="12"/>
  <c r="D15" i="12" l="1"/>
  <c r="A15" i="12"/>
  <c r="K262" i="4"/>
  <c r="D11" i="12"/>
  <c r="D19" i="12" s="1"/>
  <c r="D12" i="12"/>
  <c r="D18" i="12" s="1"/>
  <c r="D13" i="12"/>
  <c r="D17" i="12" s="1"/>
  <c r="D14" i="12"/>
  <c r="D16" i="12" s="1"/>
  <c r="K255" i="4"/>
  <c r="E262" i="4"/>
  <c r="F8" i="11"/>
  <c r="F40" i="11"/>
  <c r="F14" i="11"/>
  <c r="F15" i="11"/>
  <c r="F43" i="11"/>
  <c r="F7" i="11"/>
  <c r="F9" i="11"/>
  <c r="F26" i="11"/>
  <c r="F27" i="11"/>
  <c r="F28" i="11"/>
  <c r="F29" i="11"/>
  <c r="F30" i="11"/>
  <c r="F19" i="11"/>
  <c r="F20" i="11"/>
  <c r="F34" i="11"/>
  <c r="F44" i="11"/>
  <c r="F45" i="11"/>
  <c r="F33" i="11"/>
  <c r="F10" i="11"/>
  <c r="F23" i="11"/>
  <c r="F24" i="11"/>
  <c r="F25" i="11"/>
  <c r="F32" i="11"/>
  <c r="K217" i="4"/>
  <c r="K210" i="4"/>
  <c r="J100" i="4"/>
  <c r="J95" i="4"/>
  <c r="J96" i="4"/>
  <c r="J97" i="4"/>
  <c r="J98" i="4"/>
  <c r="J99" i="4"/>
  <c r="J94" i="4"/>
  <c r="I74" i="4"/>
  <c r="I75" i="4"/>
  <c r="I72" i="4"/>
  <c r="I76" i="4"/>
  <c r="I77" i="4"/>
  <c r="I78" i="4"/>
  <c r="I73" i="4"/>
  <c r="J78" i="4"/>
  <c r="J73" i="4"/>
  <c r="J74" i="4"/>
  <c r="J75" i="4"/>
  <c r="J76" i="4"/>
  <c r="J77" i="4"/>
  <c r="J72" i="4"/>
  <c r="K141" i="4"/>
  <c r="K264" i="4" l="1"/>
  <c r="K265" i="4"/>
  <c r="C5" i="12"/>
  <c r="E29" i="6"/>
  <c r="K220" i="4"/>
  <c r="K219" i="4"/>
  <c r="K142" i="4"/>
  <c r="E141" i="4"/>
  <c r="K245" i="4" l="1"/>
  <c r="K290" i="4"/>
  <c r="X12" i="12"/>
  <c r="W12" i="12"/>
  <c r="R10" i="12"/>
  <c r="X10" i="12"/>
  <c r="U10" i="12"/>
  <c r="W10" i="12"/>
  <c r="X15" i="12"/>
  <c r="O15" i="12"/>
  <c r="V15" i="12"/>
  <c r="P15" i="12"/>
  <c r="M15" i="12"/>
  <c r="R20" i="12"/>
  <c r="W20" i="12"/>
  <c r="X20" i="12"/>
  <c r="U20" i="12"/>
  <c r="X11" i="12"/>
  <c r="V11" i="12"/>
  <c r="E116" i="4"/>
  <c r="X13" i="12"/>
  <c r="V13" i="12"/>
  <c r="X14" i="12"/>
  <c r="W14" i="12"/>
  <c r="J14" i="12"/>
  <c r="E142" i="4"/>
  <c r="W18" i="12"/>
  <c r="X18" i="12"/>
  <c r="C21" i="12" l="1"/>
  <c r="X19" i="12"/>
  <c r="V19" i="12"/>
  <c r="K187" i="4"/>
  <c r="E187" i="4"/>
  <c r="E151" i="4"/>
  <c r="V17" i="12"/>
  <c r="X17" i="12"/>
  <c r="O14" i="12"/>
  <c r="N14" i="12"/>
  <c r="S14" i="12"/>
  <c r="J13" i="12"/>
  <c r="AH2" i="12"/>
  <c r="AH3" i="12" s="1"/>
  <c r="W16" i="12"/>
  <c r="J16" i="12"/>
  <c r="X16" i="12"/>
  <c r="X21" i="12" l="1"/>
  <c r="K41" i="12" s="1"/>
  <c r="K227" i="4"/>
  <c r="K272" i="4"/>
  <c r="J12" i="12"/>
  <c r="N12" i="12" s="1"/>
  <c r="M13" i="12"/>
  <c r="P13" i="12"/>
  <c r="O13" i="12"/>
  <c r="N16" i="12"/>
  <c r="O16" i="12"/>
  <c r="J17" i="12"/>
  <c r="S16" i="12"/>
  <c r="O12" i="12" l="1"/>
  <c r="J11" i="12"/>
  <c r="S12" i="12"/>
  <c r="J18" i="12"/>
  <c r="P17" i="12"/>
  <c r="O17" i="12"/>
  <c r="M17" i="12"/>
  <c r="J19" i="12" l="1"/>
  <c r="O18" i="12"/>
  <c r="N18" i="12"/>
  <c r="S18" i="12"/>
  <c r="O11" i="12"/>
  <c r="J10" i="12"/>
  <c r="P11" i="12"/>
  <c r="M11" i="12"/>
  <c r="E245" i="4"/>
  <c r="E59" i="4"/>
  <c r="E157" i="4" s="1"/>
  <c r="M19" i="12" l="1"/>
  <c r="J20" i="12"/>
  <c r="P19" i="12"/>
  <c r="O19" i="12"/>
  <c r="N10" i="12"/>
  <c r="S10" i="12"/>
  <c r="O10" i="12"/>
  <c r="G160" i="4"/>
  <c r="I89" i="4"/>
  <c r="G13" i="13"/>
  <c r="G14" i="13" s="1"/>
  <c r="E290" i="4"/>
  <c r="E255" i="4"/>
  <c r="C13" i="13"/>
  <c r="C14" i="13" s="1"/>
  <c r="E272" i="4"/>
  <c r="D109" i="5"/>
  <c r="C110" i="5"/>
  <c r="B113" i="5"/>
  <c r="E108" i="5"/>
  <c r="C109" i="5"/>
  <c r="D112" i="5"/>
  <c r="D108" i="5"/>
  <c r="C108" i="5"/>
  <c r="E112" i="5"/>
  <c r="E109" i="5"/>
  <c r="C111" i="5"/>
  <c r="E60" i="4"/>
  <c r="E158" i="4" s="1"/>
  <c r="K448" i="4"/>
  <c r="E448" i="4"/>
  <c r="E217" i="4"/>
  <c r="E265" i="4"/>
  <c r="G161" i="4" l="1"/>
  <c r="K167" i="4" s="1"/>
  <c r="K455" i="4"/>
  <c r="K453" i="4"/>
  <c r="S20" i="12"/>
  <c r="O20" i="12"/>
  <c r="O21" i="12" s="1"/>
  <c r="F36" i="12" s="1"/>
  <c r="N20" i="12"/>
  <c r="E220" i="4"/>
  <c r="I100" i="4"/>
  <c r="I94" i="4"/>
  <c r="I95" i="4"/>
  <c r="I96" i="4"/>
  <c r="I97" i="4"/>
  <c r="I98" i="4"/>
  <c r="I99" i="4"/>
  <c r="E146" i="4"/>
  <c r="E145" i="4"/>
  <c r="K363" i="4" s="1"/>
  <c r="K146" i="4"/>
  <c r="K394" i="4" s="1"/>
  <c r="K145" i="4"/>
  <c r="F11" i="12"/>
  <c r="E14" i="12"/>
  <c r="F17" i="12"/>
  <c r="F13" i="12"/>
  <c r="E18" i="12"/>
  <c r="E10" i="12"/>
  <c r="E16" i="12"/>
  <c r="E20" i="12"/>
  <c r="AJ20" i="12" s="1"/>
  <c r="F15" i="12"/>
  <c r="F19" i="12"/>
  <c r="E12" i="12"/>
  <c r="B108" i="5"/>
  <c r="B117" i="5"/>
  <c r="E117" i="5" s="1"/>
  <c r="D117" i="5"/>
  <c r="C117" i="5"/>
  <c r="F117" i="5" s="1"/>
  <c r="E227" i="4"/>
  <c r="K421" i="4"/>
  <c r="K457" i="4" s="1"/>
  <c r="E219" i="4"/>
  <c r="E264" i="4"/>
  <c r="K417" i="4"/>
  <c r="K419" i="4"/>
  <c r="K322" i="4" l="1"/>
  <c r="AH11" i="12"/>
  <c r="AJ11" i="12"/>
  <c r="AI11" i="12"/>
  <c r="AG11" i="12"/>
  <c r="AI14" i="12"/>
  <c r="AJ14" i="12"/>
  <c r="AG14" i="12"/>
  <c r="AH14" i="12"/>
  <c r="AH17" i="12"/>
  <c r="AJ17" i="12"/>
  <c r="AI17" i="12"/>
  <c r="AG17" i="12"/>
  <c r="AI13" i="12"/>
  <c r="AJ13" i="12"/>
  <c r="AH13" i="12"/>
  <c r="AG13" i="12"/>
  <c r="AI18" i="12"/>
  <c r="AJ18" i="12"/>
  <c r="AG18" i="12"/>
  <c r="AH18" i="12"/>
  <c r="AI10" i="12"/>
  <c r="AH10" i="12"/>
  <c r="AJ10" i="12"/>
  <c r="AG10" i="12"/>
  <c r="AH16" i="12"/>
  <c r="AG16" i="12"/>
  <c r="AJ16" i="12"/>
  <c r="AI16" i="12"/>
  <c r="AI20" i="12"/>
  <c r="AH20" i="12"/>
  <c r="AG20" i="12"/>
  <c r="AI15" i="12"/>
  <c r="AH15" i="12"/>
  <c r="AG15" i="12"/>
  <c r="AJ15" i="12"/>
  <c r="AI19" i="12"/>
  <c r="AH19" i="12"/>
  <c r="AJ19" i="12"/>
  <c r="AG19" i="12"/>
  <c r="AJ12" i="12"/>
  <c r="AG12" i="12"/>
  <c r="AH12" i="12"/>
  <c r="AI12" i="12"/>
  <c r="K399" i="4"/>
  <c r="K327" i="4"/>
  <c r="E168" i="4"/>
  <c r="E167" i="4"/>
  <c r="S11" i="12"/>
  <c r="L11" i="12"/>
  <c r="N11" i="12"/>
  <c r="Z11" i="12"/>
  <c r="W11" i="12"/>
  <c r="Y11" i="12"/>
  <c r="K11" i="12"/>
  <c r="K14" i="12"/>
  <c r="M14" i="12"/>
  <c r="Y14" i="12"/>
  <c r="P14" i="12"/>
  <c r="V14" i="12"/>
  <c r="L14" i="12"/>
  <c r="Z14" i="12"/>
  <c r="L17" i="12"/>
  <c r="N17" i="12"/>
  <c r="S17" i="12"/>
  <c r="W17" i="12"/>
  <c r="Z17" i="12"/>
  <c r="K17" i="12"/>
  <c r="Y17" i="12"/>
  <c r="N13" i="12"/>
  <c r="S13" i="12"/>
  <c r="L13" i="12"/>
  <c r="Z13" i="12"/>
  <c r="W13" i="12"/>
  <c r="K13" i="12"/>
  <c r="Y13" i="12"/>
  <c r="M18" i="12"/>
  <c r="P18" i="12"/>
  <c r="K18" i="12"/>
  <c r="V18" i="12"/>
  <c r="Y18" i="12"/>
  <c r="Z18" i="12"/>
  <c r="L18" i="12"/>
  <c r="P10" i="12"/>
  <c r="K10" i="12"/>
  <c r="M10" i="12"/>
  <c r="V10" i="12"/>
  <c r="L10" i="12"/>
  <c r="Z10" i="12"/>
  <c r="Y10" i="12"/>
  <c r="M16" i="12"/>
  <c r="K16" i="12"/>
  <c r="P16" i="12"/>
  <c r="V16" i="12"/>
  <c r="Y16" i="12"/>
  <c r="Z16" i="12"/>
  <c r="L16" i="12"/>
  <c r="P20" i="12"/>
  <c r="M20" i="12"/>
  <c r="K20" i="12"/>
  <c r="L20" i="12"/>
  <c r="V20" i="12"/>
  <c r="Z20" i="12"/>
  <c r="Y20" i="12"/>
  <c r="W15" i="12"/>
  <c r="N15" i="12"/>
  <c r="L15" i="12"/>
  <c r="S15" i="12"/>
  <c r="Z15" i="12"/>
  <c r="K15" i="12"/>
  <c r="Y15" i="12"/>
  <c r="N19" i="12"/>
  <c r="S19" i="12"/>
  <c r="L19" i="12"/>
  <c r="W19" i="12"/>
  <c r="Z19" i="12"/>
  <c r="Y19" i="12"/>
  <c r="K19" i="12"/>
  <c r="P12" i="12"/>
  <c r="M12" i="12"/>
  <c r="K12" i="12"/>
  <c r="V12" i="12"/>
  <c r="Y12" i="12"/>
  <c r="L12" i="12"/>
  <c r="Z12" i="12"/>
  <c r="K168" i="4"/>
  <c r="AI21" i="12" l="1"/>
  <c r="AJ21" i="12"/>
  <c r="AH21" i="12"/>
  <c r="AG21" i="12"/>
  <c r="S21" i="12"/>
  <c r="N21" i="12"/>
  <c r="W21" i="12"/>
  <c r="J40" i="12" s="1"/>
  <c r="M21" i="12"/>
  <c r="V21" i="12"/>
  <c r="I39" i="12" s="1"/>
  <c r="Z21" i="12"/>
  <c r="Y21" i="12"/>
  <c r="P21" i="12"/>
  <c r="K21" i="12"/>
  <c r="L21" i="12"/>
  <c r="D71" i="23" l="1"/>
  <c r="E494" i="4" s="1"/>
  <c r="K46" i="4"/>
  <c r="K258" i="4" s="1"/>
  <c r="K45" i="4"/>
  <c r="K257" i="4" s="1"/>
  <c r="L2" i="12"/>
  <c r="L3" i="12" s="1"/>
  <c r="T10" i="12"/>
  <c r="E35" i="12"/>
  <c r="N22" i="12"/>
  <c r="M22" i="12"/>
  <c r="C34" i="12"/>
  <c r="Q10" i="12"/>
  <c r="P23" i="12"/>
  <c r="K270" i="4" l="1"/>
  <c r="K276" i="4"/>
  <c r="K278" i="4" s="1"/>
  <c r="K269" i="4"/>
  <c r="K175" i="4"/>
  <c r="K213" i="4"/>
  <c r="K174" i="4"/>
  <c r="K184" i="4" s="1"/>
  <c r="K212" i="4"/>
  <c r="AD15" i="12"/>
  <c r="AD11" i="12"/>
  <c r="AD13" i="12"/>
  <c r="AD19" i="12"/>
  <c r="AD17" i="12"/>
  <c r="AB11" i="12"/>
  <c r="AB13" i="12"/>
  <c r="AE18" i="12"/>
  <c r="AC10" i="12"/>
  <c r="AE20" i="12"/>
  <c r="AB15" i="12"/>
  <c r="AE14" i="12"/>
  <c r="AC14" i="12"/>
  <c r="AB17" i="12"/>
  <c r="AC18" i="12"/>
  <c r="AE10" i="12"/>
  <c r="AC16" i="12"/>
  <c r="AE16" i="12"/>
  <c r="AC20" i="12"/>
  <c r="AB19" i="12"/>
  <c r="AE12" i="12"/>
  <c r="AC12" i="12"/>
  <c r="AD18" i="12"/>
  <c r="AD10" i="12"/>
  <c r="AD16" i="12"/>
  <c r="AD20" i="12"/>
  <c r="AD12" i="12"/>
  <c r="AD14" i="12"/>
  <c r="AB10" i="12"/>
  <c r="AB16" i="12"/>
  <c r="AC19" i="12"/>
  <c r="AB18" i="12"/>
  <c r="AC13" i="12"/>
  <c r="AC11" i="12"/>
  <c r="AC17" i="12"/>
  <c r="AB20" i="12"/>
  <c r="AB12" i="12"/>
  <c r="AB14" i="12"/>
  <c r="AC15" i="12"/>
  <c r="AE13" i="12"/>
  <c r="AE15" i="12"/>
  <c r="AE17" i="12"/>
  <c r="AE19" i="12"/>
  <c r="AE11" i="12"/>
  <c r="T11" i="12"/>
  <c r="Q11" i="12"/>
  <c r="R11" i="12" s="1"/>
  <c r="K194" i="4" l="1"/>
  <c r="K195" i="4" s="1"/>
  <c r="K185" i="4"/>
  <c r="K190" i="4" s="1"/>
  <c r="K275" i="4"/>
  <c r="K280" i="4"/>
  <c r="K282" i="4" s="1"/>
  <c r="K384" i="4" s="1"/>
  <c r="J35" i="23" s="1"/>
  <c r="K225" i="4"/>
  <c r="K231" i="4"/>
  <c r="K233" i="4" s="1"/>
  <c r="K224" i="4"/>
  <c r="AE21" i="12"/>
  <c r="AD21" i="12"/>
  <c r="AC21" i="12"/>
  <c r="AB21" i="12"/>
  <c r="T12" i="12"/>
  <c r="U11" i="12"/>
  <c r="Q12" i="12"/>
  <c r="R12" i="12" s="1"/>
  <c r="E384" i="4" l="1"/>
  <c r="D35" i="23" s="1"/>
  <c r="E387" i="4"/>
  <c r="K196" i="4"/>
  <c r="K198" i="4" s="1"/>
  <c r="K286" i="4"/>
  <c r="T13" i="12"/>
  <c r="U12" i="12"/>
  <c r="K230" i="4"/>
  <c r="K235" i="4"/>
  <c r="E46" i="4"/>
  <c r="E175" i="4" s="1"/>
  <c r="E45" i="4"/>
  <c r="E174" i="4" s="1"/>
  <c r="E417" i="4" s="1"/>
  <c r="Q13" i="12"/>
  <c r="E194" i="4" l="1"/>
  <c r="E419" i="4"/>
  <c r="E429" i="4" s="1"/>
  <c r="E312" i="4"/>
  <c r="D20" i="23" s="1"/>
  <c r="E315" i="4"/>
  <c r="K312" i="4"/>
  <c r="J20" i="23" s="1"/>
  <c r="K237" i="4"/>
  <c r="K348" i="4" s="1"/>
  <c r="K202" i="4"/>
  <c r="U13" i="12"/>
  <c r="T14" i="12"/>
  <c r="Q14" i="12"/>
  <c r="R13" i="12"/>
  <c r="E213" i="4"/>
  <c r="E455" i="4"/>
  <c r="E458" i="4" s="1"/>
  <c r="E258" i="4"/>
  <c r="E270" i="4" l="1"/>
  <c r="K241" i="4"/>
  <c r="E351" i="4"/>
  <c r="E348" i="4"/>
  <c r="U14" i="12"/>
  <c r="T15" i="12"/>
  <c r="E225" i="4"/>
  <c r="Q15" i="12"/>
  <c r="R14" i="12"/>
  <c r="E185" i="4"/>
  <c r="E422" i="4"/>
  <c r="U15" i="12" l="1"/>
  <c r="T16" i="12"/>
  <c r="Q16" i="12"/>
  <c r="R15" i="12"/>
  <c r="E444" i="4"/>
  <c r="E465" i="4" s="1"/>
  <c r="E466" i="4" s="1"/>
  <c r="E467" i="4" s="1"/>
  <c r="E430" i="4"/>
  <c r="E431" i="4" s="1"/>
  <c r="U16" i="12" l="1"/>
  <c r="T17" i="12"/>
  <c r="R16" i="12"/>
  <c r="Q17" i="12"/>
  <c r="J39" i="23"/>
  <c r="L39" i="23" s="1"/>
  <c r="F20" i="23"/>
  <c r="L35" i="23"/>
  <c r="L20" i="23"/>
  <c r="E276" i="4"/>
  <c r="E195" i="4"/>
  <c r="K358" i="4"/>
  <c r="E231" i="4"/>
  <c r="E278" i="4" l="1"/>
  <c r="E280" i="4" s="1"/>
  <c r="E233" i="4"/>
  <c r="U17" i="12"/>
  <c r="T18" i="12"/>
  <c r="Q18" i="12"/>
  <c r="R17" i="12"/>
  <c r="E196" i="4"/>
  <c r="E235" i="4" l="1"/>
  <c r="T19" i="12"/>
  <c r="U18" i="12"/>
  <c r="Q19" i="12"/>
  <c r="R18" i="12"/>
  <c r="T20" i="12" l="1"/>
  <c r="U19" i="12"/>
  <c r="U21" i="12" s="1"/>
  <c r="H38" i="12" s="1"/>
  <c r="Q20" i="12"/>
  <c r="R19" i="12"/>
  <c r="R21" i="12" s="1"/>
  <c r="G37" i="12" s="1"/>
  <c r="E257" i="4" l="1"/>
  <c r="E453" i="4"/>
  <c r="E212" i="4"/>
  <c r="E198" i="4" l="1"/>
  <c r="E469" i="4"/>
  <c r="K480" i="4" s="1"/>
  <c r="E457" i="4"/>
  <c r="E461" i="4" s="1"/>
  <c r="E224" i="4"/>
  <c r="E237" i="4"/>
  <c r="E269" i="4"/>
  <c r="E275" i="4" s="1"/>
  <c r="E282" i="4"/>
  <c r="E184" i="4"/>
  <c r="E190" i="4" s="1"/>
  <c r="D39" i="23" l="1"/>
  <c r="F39" i="23" s="1"/>
  <c r="E358" i="4"/>
  <c r="E407" i="4" s="1"/>
  <c r="E336" i="4"/>
  <c r="E341" i="4" s="1"/>
  <c r="E339" i="4"/>
  <c r="E342" i="4" s="1"/>
  <c r="E286" i="4"/>
  <c r="E230" i="4"/>
  <c r="E241" i="4" s="1"/>
  <c r="E433" i="4"/>
  <c r="E483" i="4" s="1"/>
  <c r="E421" i="4"/>
  <c r="E425" i="4" s="1"/>
  <c r="F35" i="23"/>
  <c r="K483" i="4"/>
  <c r="K485" i="4" s="1"/>
  <c r="E63" i="23" s="1"/>
  <c r="L63" i="23" s="1"/>
  <c r="E473" i="4"/>
  <c r="K339" i="4"/>
  <c r="K342" i="4" s="1"/>
  <c r="K336" i="4"/>
  <c r="K341" i="4" s="1"/>
  <c r="K375" i="4"/>
  <c r="K378" i="4" s="1"/>
  <c r="E372" i="4"/>
  <c r="E377" i="4" s="1"/>
  <c r="E375" i="4"/>
  <c r="E378" i="4" s="1"/>
  <c r="E394" i="4"/>
  <c r="K372" i="4"/>
  <c r="K377" i="4" s="1"/>
  <c r="K300" i="4"/>
  <c r="E322" i="4"/>
  <c r="E405" i="4" s="1"/>
  <c r="E300" i="4"/>
  <c r="E305" i="4" s="1"/>
  <c r="E303" i="4"/>
  <c r="E306" i="4" s="1"/>
  <c r="E202" i="4"/>
  <c r="K303" i="4"/>
  <c r="K306" i="4" s="1"/>
  <c r="E500" i="4" l="1"/>
  <c r="E512" i="4" s="1"/>
  <c r="E480" i="4"/>
  <c r="K305" i="4"/>
  <c r="K309" i="4" s="1"/>
  <c r="J19" i="23" s="1"/>
  <c r="L19" i="23" s="1"/>
  <c r="E409" i="4"/>
  <c r="E363" i="4"/>
  <c r="D47" i="23" s="1"/>
  <c r="E309" i="4"/>
  <c r="E437" i="4"/>
  <c r="K494" i="4"/>
  <c r="E498" i="4" s="1"/>
  <c r="E514" i="4" s="1"/>
  <c r="H514" i="4" s="1"/>
  <c r="E345" i="4"/>
  <c r="D38" i="23" s="1"/>
  <c r="F38" i="23" s="1"/>
  <c r="K381" i="4"/>
  <c r="J34" i="23" s="1"/>
  <c r="L34" i="23" s="1"/>
  <c r="K345" i="4"/>
  <c r="J38" i="23" s="1"/>
  <c r="L38" i="23" s="1"/>
  <c r="E381" i="4"/>
  <c r="D34" i="23" s="1"/>
  <c r="F34" i="23" s="1"/>
  <c r="E399" i="4"/>
  <c r="D44" i="23" s="1"/>
  <c r="E327" i="4"/>
  <c r="D25" i="23" s="1"/>
  <c r="K71" i="23" l="1"/>
  <c r="E506" i="4"/>
  <c r="J79" i="23"/>
  <c r="D19" i="23"/>
  <c r="F19" i="23" s="1"/>
  <c r="E485" i="4"/>
  <c r="E502" i="4"/>
  <c r="F44" i="23"/>
  <c r="F25" i="23"/>
  <c r="F47" i="23"/>
  <c r="F81" i="23" l="1"/>
  <c r="E81" i="23"/>
  <c r="B81" i="23"/>
  <c r="D81" i="23"/>
  <c r="E55" i="23"/>
  <c r="L55" i="23" s="1"/>
  <c r="E508" i="4"/>
  <c r="E75" i="23" l="1"/>
  <c r="L75" i="23" s="1"/>
  <c r="E79" i="23"/>
  <c r="L79" i="23" s="1"/>
  <c r="H81" i="23"/>
  <c r="A82" i="5"/>
  <c r="A81" i="5"/>
  <c r="A80" i="5"/>
  <c r="A79" i="5"/>
  <c r="A78" i="5"/>
  <c r="C536" i="4"/>
  <c r="B514" i="4"/>
  <c r="B512" i="4"/>
  <c r="B510" i="4"/>
  <c r="B508" i="4"/>
  <c r="B506" i="4"/>
  <c r="B504" i="4"/>
  <c r="B502" i="4"/>
  <c r="B500" i="4"/>
  <c r="B498" i="4"/>
  <c r="B496" i="4"/>
  <c r="H494" i="4"/>
  <c r="B494" i="4"/>
  <c r="B492" i="4"/>
  <c r="B490" i="4"/>
  <c r="H482" i="4"/>
  <c r="B482" i="4"/>
  <c r="H479" i="4"/>
  <c r="B479" i="4"/>
  <c r="H477" i="4"/>
  <c r="B477" i="4"/>
  <c r="B475" i="4"/>
  <c r="B471" i="4"/>
  <c r="B463" i="4"/>
  <c r="B460" i="4"/>
  <c r="H457" i="4"/>
  <c r="B457" i="4"/>
  <c r="H455" i="4"/>
  <c r="B455" i="4"/>
  <c r="H453" i="4"/>
  <c r="B453" i="4"/>
  <c r="H446" i="4"/>
  <c r="B446" i="4"/>
  <c r="B442" i="4"/>
  <c r="B440" i="4"/>
  <c r="B435" i="4"/>
  <c r="B427" i="4"/>
  <c r="B424" i="4"/>
  <c r="H421" i="4"/>
  <c r="B421" i="4"/>
  <c r="H419" i="4"/>
  <c r="B419" i="4"/>
  <c r="H417" i="4"/>
  <c r="B417" i="4"/>
  <c r="H415" i="4"/>
  <c r="B415" i="4"/>
  <c r="B413" i="4"/>
  <c r="B411" i="4"/>
  <c r="B409" i="4"/>
  <c r="B407" i="4"/>
  <c r="B405" i="4"/>
  <c r="B403" i="4"/>
  <c r="H398" i="4"/>
  <c r="B398" i="4"/>
  <c r="B396" i="4"/>
  <c r="H393" i="4"/>
  <c r="B393" i="4"/>
  <c r="B391" i="4"/>
  <c r="B386" i="4"/>
  <c r="H383" i="4"/>
  <c r="B383" i="4"/>
  <c r="H380" i="4"/>
  <c r="B380" i="4"/>
  <c r="H378" i="4"/>
  <c r="B378" i="4"/>
  <c r="H377" i="4"/>
  <c r="B377" i="4"/>
  <c r="H374" i="4"/>
  <c r="B374" i="4"/>
  <c r="H371" i="4"/>
  <c r="B371" i="4"/>
  <c r="H369" i="4"/>
  <c r="B369" i="4"/>
  <c r="B367" i="4"/>
  <c r="H362" i="4"/>
  <c r="B362" i="4"/>
  <c r="B360" i="4"/>
  <c r="H357" i="4"/>
  <c r="B357" i="4"/>
  <c r="B355" i="4"/>
  <c r="B350" i="4"/>
  <c r="H347" i="4"/>
  <c r="B347" i="4"/>
  <c r="H344" i="4"/>
  <c r="B344" i="4"/>
  <c r="H342" i="4"/>
  <c r="B342" i="4"/>
  <c r="H341" i="4"/>
  <c r="B341" i="4"/>
  <c r="H338" i="4"/>
  <c r="B338" i="4"/>
  <c r="H335" i="4"/>
  <c r="B335" i="4"/>
  <c r="H333" i="4"/>
  <c r="B333" i="4"/>
  <c r="B331" i="4"/>
  <c r="H326" i="4"/>
  <c r="B326" i="4"/>
  <c r="B324" i="4"/>
  <c r="H321" i="4"/>
  <c r="B321" i="4"/>
  <c r="B319" i="4"/>
  <c r="B314" i="4"/>
  <c r="H311" i="4"/>
  <c r="B311" i="4"/>
  <c r="H308" i="4"/>
  <c r="B308" i="4"/>
  <c r="H306" i="4"/>
  <c r="B306" i="4"/>
  <c r="H305" i="4"/>
  <c r="B305" i="4"/>
  <c r="H302" i="4"/>
  <c r="B302" i="4"/>
  <c r="H299" i="4"/>
  <c r="B299" i="4"/>
  <c r="H297" i="4"/>
  <c r="B297" i="4"/>
  <c r="B295" i="4"/>
  <c r="H288" i="4"/>
  <c r="B288" i="4"/>
  <c r="H284" i="4"/>
  <c r="B284" i="4"/>
  <c r="H274" i="4"/>
  <c r="B274" i="4"/>
  <c r="H272" i="4"/>
  <c r="B272" i="4"/>
  <c r="H270" i="4"/>
  <c r="B270" i="4"/>
  <c r="H269" i="4"/>
  <c r="B269" i="4"/>
  <c r="H267" i="4"/>
  <c r="B267" i="4"/>
  <c r="H265" i="4"/>
  <c r="B265" i="4"/>
  <c r="H264" i="4"/>
  <c r="B264" i="4"/>
  <c r="H260" i="4"/>
  <c r="B260" i="4"/>
  <c r="H258" i="4"/>
  <c r="B258" i="4"/>
  <c r="H257" i="4"/>
  <c r="B257" i="4"/>
  <c r="H252" i="4"/>
  <c r="B252" i="4"/>
  <c r="H250" i="4"/>
  <c r="B250" i="4"/>
  <c r="H243" i="4"/>
  <c r="B243" i="4"/>
  <c r="H239" i="4"/>
  <c r="B239" i="4"/>
  <c r="H229" i="4"/>
  <c r="B229" i="4"/>
  <c r="H227" i="4"/>
  <c r="B227" i="4"/>
  <c r="H225" i="4"/>
  <c r="B225" i="4"/>
  <c r="H224" i="4"/>
  <c r="B224" i="4"/>
  <c r="H222" i="4"/>
  <c r="B222" i="4"/>
  <c r="H220" i="4"/>
  <c r="B220" i="4"/>
  <c r="H219" i="4"/>
  <c r="B219" i="4"/>
  <c r="H215" i="4"/>
  <c r="B215" i="4"/>
  <c r="H213" i="4"/>
  <c r="B213" i="4"/>
  <c r="H212" i="4"/>
  <c r="B212" i="4"/>
  <c r="H207" i="4"/>
  <c r="B207" i="4"/>
  <c r="H205" i="4"/>
  <c r="B205" i="4"/>
  <c r="H200" i="4"/>
  <c r="B200" i="4"/>
  <c r="H192" i="4"/>
  <c r="B192" i="4"/>
  <c r="H189" i="4"/>
  <c r="B189" i="4"/>
  <c r="H187" i="4"/>
  <c r="B187" i="4"/>
  <c r="H185" i="4"/>
  <c r="B185" i="4"/>
  <c r="H184" i="4"/>
  <c r="B184" i="4"/>
  <c r="H182" i="4"/>
  <c r="B182" i="4"/>
  <c r="H180" i="4"/>
  <c r="B180" i="4"/>
  <c r="H179" i="4"/>
  <c r="B179" i="4"/>
  <c r="H177" i="4"/>
  <c r="B177" i="4"/>
  <c r="H175" i="4"/>
  <c r="B175" i="4"/>
  <c r="H174" i="4"/>
  <c r="B174" i="4"/>
  <c r="H172" i="4"/>
  <c r="B172" i="4"/>
  <c r="H170" i="4"/>
  <c r="B170" i="4"/>
  <c r="H168" i="4"/>
  <c r="B168" i="4"/>
  <c r="H167" i="4"/>
  <c r="B167" i="4"/>
  <c r="B165" i="4"/>
  <c r="B161" i="4"/>
  <c r="B160" i="4"/>
  <c r="B158" i="4"/>
  <c r="B157" i="4"/>
  <c r="B155" i="4"/>
  <c r="B148" i="4"/>
  <c r="H145" i="4"/>
  <c r="B145" i="4"/>
  <c r="H143" i="4"/>
  <c r="B143" i="4"/>
  <c r="H142" i="4"/>
  <c r="B142" i="4"/>
  <c r="H141" i="4"/>
  <c r="B141" i="4"/>
  <c r="H135" i="4"/>
  <c r="B135" i="4"/>
  <c r="H133" i="4"/>
  <c r="B133" i="4"/>
  <c r="H131" i="4"/>
  <c r="B131" i="4"/>
  <c r="H127" i="4"/>
  <c r="B127" i="4"/>
  <c r="H125" i="4"/>
  <c r="B125" i="4"/>
  <c r="B123" i="4"/>
  <c r="B119" i="4"/>
  <c r="H117" i="4"/>
  <c r="B117" i="4"/>
  <c r="H116" i="4"/>
  <c r="B116" i="4"/>
  <c r="H114" i="4"/>
  <c r="B114" i="4"/>
  <c r="B112" i="4"/>
  <c r="B93" i="4"/>
  <c r="B89" i="4"/>
  <c r="B87" i="4"/>
  <c r="B71" i="4"/>
  <c r="B67" i="4"/>
  <c r="B65" i="4"/>
  <c r="B60" i="4"/>
  <c r="B59" i="4"/>
  <c r="B58" i="4"/>
  <c r="B56" i="4"/>
  <c r="H52" i="4"/>
  <c r="B52" i="4"/>
  <c r="B51" i="4"/>
  <c r="H50" i="4"/>
  <c r="B50" i="4"/>
  <c r="B48" i="4"/>
  <c r="H46" i="4"/>
  <c r="B46" i="4"/>
  <c r="H45" i="4"/>
  <c r="B45" i="4"/>
  <c r="H43" i="4"/>
  <c r="B43" i="4"/>
  <c r="H41" i="4"/>
  <c r="B41" i="4"/>
  <c r="H39" i="4"/>
  <c r="B39" i="4"/>
  <c r="B35" i="4"/>
  <c r="I26" i="4"/>
  <c r="D26" i="4"/>
  <c r="I22" i="4"/>
  <c r="D22" i="4"/>
  <c r="C7" i="4"/>
  <c r="H79" i="23"/>
  <c r="H75" i="23"/>
  <c r="B75" i="23"/>
  <c r="B73" i="23"/>
  <c r="B72" i="23"/>
  <c r="H71" i="23"/>
  <c r="B71" i="23"/>
  <c r="B67" i="23"/>
  <c r="B63" i="23"/>
  <c r="B61" i="23"/>
  <c r="B57" i="23"/>
  <c r="B55" i="23"/>
  <c r="B53" i="23"/>
  <c r="B49" i="23"/>
  <c r="B47" i="23"/>
  <c r="B44" i="23"/>
  <c r="B41" i="23"/>
  <c r="H39" i="23"/>
  <c r="B39" i="23"/>
  <c r="H38" i="23"/>
  <c r="B38" i="23"/>
  <c r="H35" i="23"/>
  <c r="B35" i="23"/>
  <c r="H34" i="23"/>
  <c r="B34" i="23"/>
  <c r="H31" i="23"/>
  <c r="B31" i="23"/>
  <c r="B27" i="23"/>
  <c r="B25" i="23"/>
  <c r="B22" i="23"/>
  <c r="H20" i="23"/>
  <c r="B20" i="23"/>
  <c r="H19" i="23"/>
  <c r="B19" i="23"/>
  <c r="H16" i="23"/>
  <c r="B16" i="23"/>
  <c r="B12" i="23"/>
  <c r="H6" i="23"/>
  <c r="H5" i="23"/>
  <c r="H44" i="6"/>
  <c r="B44" i="6"/>
  <c r="H43" i="6"/>
  <c r="B43" i="6"/>
  <c r="H42" i="6"/>
  <c r="B42" i="6"/>
  <c r="H41" i="6"/>
  <c r="B41" i="6"/>
  <c r="H39" i="6"/>
  <c r="B39" i="6"/>
  <c r="B37" i="6"/>
  <c r="B33" i="6"/>
  <c r="B31" i="6"/>
  <c r="H30" i="6"/>
  <c r="B30" i="6"/>
  <c r="H29" i="6"/>
  <c r="B29" i="6"/>
  <c r="H28" i="6"/>
  <c r="B28" i="6"/>
  <c r="H26" i="6"/>
  <c r="B26" i="6"/>
  <c r="B24" i="6"/>
  <c r="H22" i="6"/>
  <c r="B22" i="6"/>
  <c r="H20" i="6"/>
  <c r="B20" i="6"/>
  <c r="B18" i="6"/>
  <c r="B16" i="6"/>
  <c r="H15" i="6"/>
  <c r="B15" i="6"/>
  <c r="H14" i="6"/>
  <c r="B14" i="6"/>
  <c r="B12" i="6"/>
  <c r="B10" i="6"/>
  <c r="B9" i="6"/>
  <c r="B8" i="6"/>
  <c r="B7" i="6"/>
  <c r="H6" i="6"/>
  <c r="B6" i="6"/>
  <c r="H5" i="6"/>
  <c r="B5" i="6"/>
  <c r="B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tc={C743A8A0-71DC-4852-8A99-995DBCF7E9E5}</author>
  </authors>
  <commentList>
    <comment ref="C150" authorId="0" shapeId="0" xr:uid="{C743A8A0-71DC-4852-8A99-995DBCF7E9E5}">
      <text>
        <t>[Threaded comment]
Your version of Excel allows you to read this threaded comment; however, any edits to it will get removed if the file is opened in a newer version of Excel. Learn more: https://go.microsoft.com/fwlink/?linkid=870924
Comment:
    È stata utilizzata una media dei valori tra kdef clt e kdef glulam/massiccio in accordo a storaenso:
 kdef=(kdef_clt x kdef_wood)^0.5</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<sst xmlns="http://schemas.openxmlformats.org/spreadsheetml/2006/main" count="1597" uniqueCount="917">
  <si>
    <t>SHARP_METAL_CALCULATOR
v1.2</t>
  </si>
  <si>
    <t>EN</t>
  </si>
  <si>
    <t>https://www.rothoblaas.com/privacy-policy</t>
  </si>
  <si>
    <t>LENGUAGES</t>
  </si>
  <si>
    <t>IT</t>
  </si>
  <si>
    <t>DE</t>
  </si>
  <si>
    <t>FR</t>
  </si>
  <si>
    <t>ES</t>
  </si>
  <si>
    <t>CONDITIONS</t>
  </si>
  <si>
    <t>Column1</t>
  </si>
  <si>
    <t>Column2</t>
  </si>
  <si>
    <t>Lingua</t>
  </si>
  <si>
    <t>Language</t>
  </si>
  <si>
    <t>Sprache</t>
  </si>
  <si>
    <t>Langue</t>
  </si>
  <si>
    <t>Idioma</t>
  </si>
  <si>
    <t>SHARP METAL CALCULATOR</t>
  </si>
  <si>
    <t>CONDIZIONI GENERALI DEL CONTRATTO DI LICENZA PER L'USO DEL FOGLIO DI CALCOLO "SHARP_METAL_CALCULATOR"</t>
  </si>
  <si>
    <t>GENERAL TERMS AND CONDITIONS OF THE LICENSE AGREEMENT FOR THE USE OF THE SPREADSHEET "SHARP_METAL_CALCULATOR"</t>
  </si>
  <si>
    <t>ALLGEMEINE GESCHÄFTSBEDINGUNGEN DER LIZENZVEREINBARUNG FÜR DIE NUTZUNG DER TABELLENKALKULATION "SHARP_METAL_CALCULATOR"</t>
  </si>
  <si>
    <t>CONDITIONS GÉNÉRALES DU CONTRAT DE LICENCE POUR L'UTILISATION DE LA FEUILLE DE CALCUL "SHARP_METAL_CALCULATOR"</t>
  </si>
  <si>
    <t>CONDICIONES GENERALES DEL CONTRATO DE LICENCIA PARA EL USO DE LA HOJA DE CÁLCULO "SHARP_METAL_CALCULATOR"</t>
  </si>
  <si>
    <t>1. OGGETTO</t>
  </si>
  <si>
    <t>1. SUBJECT</t>
  </si>
  <si>
    <t>1. GEGENSTAND</t>
  </si>
  <si>
    <t>1. OBJET</t>
  </si>
  <si>
    <t>1. OBJETO</t>
  </si>
  <si>
    <t>Con le presenti Condizioni Generali (o "Accordo"), ROTHO BLAAS SRL, con sede legale in I-39040 Cortaccia (BZ), Via dell'Adige 2/1 (di seguito "RB"), concede all'utente il diritto non esclusivo e revocabile di utilizzare gratuitamente il foglio di calcolo (di seguito "XLS") alle seguenti condizioni e per la durata del presente Accordo.
In ogni caso, RB non garantisce la conformità legale e progettuale dei calcoli, poiché RB intende fornire esclusivamente uno strumento di calcolo indicativo da considerarsi un servizio tecnico-commerciale nell'ambito dell'attività di vendita.
XLS consente all'utente di eseguire calcoli statici soltanto per i prodotti e i materiali indicati in ciascuna delle sue sezioni. Il presente Accordo vieta espressamente l'utilizzo di XLS per fabbricare prodotti non indicati.
Il presente Accordo disciplina pertanto il rapporto tra l'Utente e RB in relazione all'utilizzo di questo foglio di calcolo. Scaricando e utilizzando XLS, l'utente accetta il presente Accordo e le condizioni qui stabilite.</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</si>
  <si>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</si>
  <si>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Mit diesen Allgemeinen Geschäftsbedingungen (oder "Vereinbarung") räumt ROTHO BLAAS SRL, mit Sitz in I-39040 Kurtatsch (BZ), Via dell'Adige 2/1 (nachfolgend "RB"), dem Nutzer das nicht ausschließliche und widerrufliche Recht ein, die Tabellenkalkulation (nachfolgend "XLS") unter den folgenden Bedingungen und während der Laufzeit dieser Vereinbarung kostenlos zu nutzen.
In jedem Fall garantiert RB nicht die rechtliche und planerische Konformität der Berechnungen, da RB lediglich ein indikatives Berechnungstool bereitstellen möchte, das als technisch-kommerzieller Service im Rahmen der Verkaufstätigkeit zu betrachten ist.
XLS ermöglicht dem Nutzer, statische Berechnungen ausschließlich für die in den jeweiligen Abschnitten angegebenen Produkte und Materialien durchzuführen. Diese Vereinbarung untersagt ausdrücklich die Verwendung von XLS zur Herstellung nicht angegebener Produkte.
Diese Vereinbarung regelt daher das Verhältnis zwischen dem Nutzer und RB in Bezug auf die Nutzung dieser Tabellenkalkulation. Durch das Herunterladen und die Nutzung von XLS akzeptiert der Nutzer diese Vereinbarung und die hierin festgelegten Bedingungen.</t>
  </si>
  <si>
    <t>Par les présentes Conditions Générales (ou "Accord"), ROTHO BLAAS SRL, dont le siège social est situé à I-39040 Cortaccia (BZ), Via dell'Adige 2/1 (ci-après "RB"), accorde à l'utilisateur le droit non exclusif et révocable d'utiliser gratuitement la feuille de calcul (ci-après "XLS") selon les conditions suivantes et pendant la durée du présent Accord.
En tout état de cause, RB ne garantit pas la conformité juridique et de conception des calculs, car RB entend uniquement fournir un outil de calcul indicatif à considérer comme un service technico-commercial dans le cadre de l'activité de vente.
XLS permet à l'utilisateur d'effectuer des calculs statiques uniquement pour les produits et matériaux indiqués dans chacune de ses sections. Le présent Accord interdit expressément l'utilisation de XLS pour fabriquer des produits non indiqués.
Le présent Accord régit donc la relation entre l'Utilisateur et RB concernant l'utilisation de cette feuille de calcul. En téléchargeant et en utilisant XLS, l'utilisateur accepte le présent Accord et les conditions qui y sont énoncées.</t>
  </si>
  <si>
    <t>Mediante las presentes Condiciones Generales (o "Acuerdo"), ROTHO BLAAS SRL, con domicilio social en I-39040 Cortaccia (BZ), Via dell'Adige 2/1 (en adelante, "RB"), concede al usuario el derecho no exclusivo y revocable de utilizar gratuitamente la hoja de cálculo (en adelante, "XLS") bajo las siguientes condiciones y durante la vigencia del presente Acuerdo.
En cualquier caso, RB no garantiza la conformidad legal ni de diseño de los cálculos, ya que RB pretende proporcionar únicamente una herramienta de cálculo indicativa que debe considerarse un servicio técnico-comercial dentro de la actividad de venta.
XLS permite al usuario realizar cálculos estáticos únicamente para los productos y materiales indicados en cada una de sus secciones. El presente Acuerdo prohíbe expresamente utilizar XLS para fabricar productos no indicados.
Por tanto, el presente Acuerdo regula la relación entre el Usuario y RB con respecto al uso de esta hoja de cálculo. Al descargar y utilizar XLS, el usuario acepta el presente Acuerdo y las condiciones aquí establecidas.</t>
  </si>
  <si>
    <t>2. RIFERIMENTI TECNICO-NORMATIVI</t>
  </si>
  <si>
    <t>2. TECHNICAL-STANDARDS REFERENCES</t>
  </si>
  <si>
    <t>2. TECHNISCH-NORMATIVE VERWEISE</t>
  </si>
  <si>
    <t>2. RÉFÉRENCES TECHNIQUES ET NORMATIVES</t>
  </si>
  <si>
    <t>2. REFERENCIAS TÉCNICO-NORMATIVAS</t>
  </si>
  <si>
    <t>RB ha effettuato le verifiche secondo il metodo degli Stati Limite in conformità alla EN 1995-1-1 Eurocodice 5 - Progettazione delle strutture in legno e alla EN 1999-1-1 Eurocodice 9 - Progettazione delle strutture in alluminio. Per i valori di resistenza meccanica e la geometria dei connettori si è fatto riferimento all'ETA-23/0824.</t>
  </si>
  <si>
    <t>RB carried out the checks according to the Limit State method in accordance with EN 1995-1-1 Eurocode 5 - Design of timber structures and EN 1999-1-1 Eurocode 9 - Design of aluminium structures. For the mechanical resistance values and the geometry of the connectors, reference was made to ETA-23/0824.</t>
  </si>
  <si>
    <t>RB hat die Nachweise nach dem Grenzzustandsverfahren gemäß EN 1995-1-1 Eurocode 5 - Bemessung und Konstruktion von Holzbauten und EN 1999-1-1 Eurocode 9 - Bemessung und Konstruktion von Aluminiumtragwerken durchgeführt. Für die mechanischen Widerstandswerte und die Geometrie der Verbinder wurde auf ETA-23/0824 Bezug genommen.</t>
  </si>
  <si>
    <t>RB a effectué les vérifications selon la méthode des États Limites conformément à la norme EN 1995-1-1 Eurocode 5 - Conception et calcul des structures en bois et à la norme EN 1999-1-1 Eurocode 9 - Conception et calcul des structures en aluminium. Pour les valeurs de résistance mécanique et la géométrie des connecteurs, il a été fait référence à l'ETA-23/0824.</t>
  </si>
  <si>
    <t>RB realizó las comprobaciones según el método de los Estados Límite de conformidad con la norma EN 1995-1-1 Eurocódigo 5 - Proyecto de estructuras de madera y la norma EN 1999-1-1 Eurocódigo 9 - Proyecto de estructuras de aluminio. Para los valores de resistencia mecánica y la geometría de los conectores, se tomó como referencia la ETA-23/0824.</t>
  </si>
  <si>
    <t>3. DIRITTI E OBBLIGHI DI RB</t>
  </si>
  <si>
    <t>3. RB RIGHTS AND OBLIGATIONS</t>
  </si>
  <si>
    <t>3. RECHTE UND PFLICHTEN VON RB</t>
  </si>
  <si>
    <t>3. DROITS ET OBLIGATIONS DE RB</t>
  </si>
  <si>
    <t>3. DERECHOS Y OBLIGACIONES DE RB</t>
  </si>
  <si>
    <t>RB:
a) mette a disposizione XLS all'Utente gratuitamente, così com'è;
b) non fornisce all'utente alcun supporto tecnico per l'utilizzo di XLS;
c) non garantisce che XLS sia conforme alle normative vigenti o al progetto dei calcoli effettuati mediante esso. In particolare, a seguito di modifiche alle disposizioni rilevanti, quali norme, approvazioni, ecc., il foglio di calcolo può diventare invalido in parte o integralmente.
d) pur riservandosi il diritto di aggiornare, revisionare e sviluppare XLS, RB non assume alcun obbligo nei confronti dell'utente di verificare, correggere, completare o aggiornare il foglio di calcolo e/o rendere disponibili gli aggiornamenti all'utente.</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</si>
  <si>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</si>
  <si>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RB:
a) stellt XLS dem Nutzer kostenlos in der vorliegenden Form zur Verfügung;
b) leistet dem Nutzer keinerlei technische Unterstützung bei der Verwendung von XLS;
c) garantiert nicht, dass XLS den geltenden Vorschriften oder der mit ihm erstellten Berechnungsplanung entspricht. Insbesondere kann die Tabellenkalkulation infolge von Änderungen der einschlägigen Bestimmungen, wie Normen, Zulassungen usw., teilweise oder vollständig ungültig werden.
d) RB behält sich zwar das Recht vor, XLS zu aktualisieren, zu überarbeiten und weiterzuentwickeln, übernimmt jedoch gegenüber dem Nutzer keine Verpflichtung, die Tabellenkalkulation zu prüfen, zu korrigieren, zu vervollständigen oder zu aktualisieren und/oder dem Nutzer Aktualisierungen bereitzustellen.</t>
  </si>
  <si>
    <t>RB :
a) met XLS à la disposition de l'Utilisateur gratuitement, en l'état ;
b) ne fournit à l'utilisateur aucun support technique pour l'utilisation de XLS ;
c) ne garantit pas que XLS est conforme aux réglementations en vigueur ni à la conception des calculs réalisés à l'aide de celui-ci. En particulier, à la suite de modifications des dispositions pertinentes, telles que normes, agréments, etc., la feuille de calcul peut devenir invalide en partie ou en totalité.
d) tout en se réservant le droit de mettre à jour, réviser et développer XLS, RB n'assume aucune obligation envers l'utilisateur de vérifier, corriger, compléter ou mettre à jour la feuille de calcul et/ou de mettre les mises à jour à la disposition de l'utilisateur.</t>
  </si>
  <si>
    <t>RB:
a) pone XLS a disposición del Usuario gratuitamente, tal como está;
b) no proporciona al usuario ningún soporte técnico para el uso de XLS;
c) no garantiza que XLS cumpla con la normativa vigente ni con el diseño de los cálculos realizados mediante el mismo. En particular, como consecuencia de cambios en las disposiciones pertinentes, tales como normas, aprobaciones, etc., la hoja de cálculo puede quedar inválida parcial o totalmente.
d) aunque se reserva el derecho de actualizar, revisar y desarrollar XLS, RB no asume ninguna obligación frente al usuario de verificar, corregir, completar o actualizar la hoja de cálculo y/o poner las actualizaciones a disposición del usuario.</t>
  </si>
  <si>
    <t>4. DIRITTI E OBBLIGHI DELL'UTENTE</t>
  </si>
  <si>
    <t>4. USER RIGHTS AND OBLIGATIONS</t>
  </si>
  <si>
    <t>4. RECHTE UND PFLICHTEN DES NUTZERS</t>
  </si>
  <si>
    <t>4. DROITS ET OBLIGATIONS DE L'UTILISATEUR</t>
  </si>
  <si>
    <t>4. DERECHOS Y OBLIGACIONES DEL USUARIO</t>
  </si>
  <si>
    <t>L'Utente dichiara di utilizzare il foglio di calcolo in qualità di professionista, escludendo qualsiasi utilizzo come consumatore, e di rispettare sempre i seguenti obblighi e divieti:
a) obbligo e responsabilità di verificare che XLS soddisfi le esigenze specifiche e sia compatibile con i sistemi hardware-software;
b) obbligo di verificare, per ogni utilizzo, la conformità dei calcoli effettuati tramite XLS alle normative vigenti e al progetto;
c) obbligo di verificare la conformità legale dei calcoli effettuati tramite il Software;
d) obbligo di utilizzare l'ultima versione di XLS messa a disposizione dal referente RB, verificando a ogni utilizzo eventuali aggiornamenti intervenuti;
e) divieto di utilizzare XLS per prodotti non indicati in ciascuna sezione di calcolo;
f) obbligo di utilizzare un software antivirus aggiornato e conforme allo standard di settore vigente;
g) obbligo di non cedere a terzi la licenza d'uso di XLS e/o di non trasferire, costituire in pegno, concedere in leasing, noleggiare, condividere con altri o sublicenziare in qualsiasi altro modo i diritti di utilizzo del foglio di calcolo;
h) divieto di modificare o alterare XLS in qualsiasi modo, anche tramite terzi.
L'utente si impegna a richiedere al referente RB l'ultima versione di XLS.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</si>
  <si>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</si>
  <si>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Der Nutzer erklärt, die Tabellenkalkulation als Fachperson zu verwenden und jegliche Nutzung als Verbraucher auszuschließen, sowie stets die folgenden Pflichten und Verbote einzuhalten:
a) Pflicht und Verantwortung zu prüfen, ob XLS den spezifischen Anforderungen entspricht und mit den Hardware-Software-Systemen kompatibel ist;
b) Pflicht, bei jeder Verwendung die Übereinstimmung der durch XLS erstellten Berechnungen mit den geltenden Vorschriften und dem Projekt zu überprüfen;
c) Pflicht, die rechtliche Konformität der durch die Software erstellten Berechnungen zu überprüfen;
d) Pflicht, die neueste vom RB-Ansprechpartner bereitgestellte Version von XLS zu verwenden und bei jeder Nutzung zu prüfen, ob Aktualisierungen erfolgt sind;
e) Verbot, XLS für Produkte zu verwenden, die nicht in jedem Berechnungsabschnitt angegeben sind;
f) Pflicht, eine aktualisierte Antivirensoftware zu verwenden, die dem geltenden Branchenstandard entspricht;
g) Pflicht, die Lizenz zur Nutzung von XLS nicht an Dritte abzutreten und/oder die Nutzungsrechte an der Tabellenkalkulation in keiner anderen Weise zu übertragen, zu verpfänden, zu verleasen, zu vermieten, mit anderen zu teilen oder unterzulizenzieren;
h) Verbot, XLS in irgendeiner Weise zu ändern oder abzuändern, auch nicht durch Dritte.
Der Nutzer verpflichtet sich, beim RB-Ansprechpartner die neueste Version von XLS anzufordern.</t>
  </si>
  <si>
    <t>L'Utilisateur déclare utiliser la feuille de calcul en tant que professionnel, à l'exclusion de toute utilisation en tant que consommateur, et s'engage à toujours respecter les obligations et interdictions suivantes :
a) obligation et responsabilité de vérifier que XLS répond aux besoins spécifiques et qu'il est compatible avec les systèmes matériels et logiciels ;
b) obligation de vérifier, pour chaque utilisation, la conformité des calculs effectués au moyen de XLS avec les réglementations en vigueur et avec le projet ;
c) obligation de vérifier la conformité juridique des calculs effectués au moyen du Logiciel ;
d) obligation d'utiliser la dernière version de XLS mise à disposition par le référent RB, en vérifiant à chaque utilisation les éventuelles mises à jour intervenues ;
e) interdiction d'utiliser XLS pour des produits non indiqués dans chaque section de calcul ;
f) obligation d'utiliser un logiciel antivirus à jour conforme à la norme industrielle en vigueur ;
g) obligation de ne pas céder à des tiers la licence d'utilisation de XLS et/ou de ne pas transférer, nantir, donner en crédit-bail, louer, partager avec d'autres ou sous-licencier de quelque autre manière les droits d'utilisation de la feuille de calcul ;
h) interdiction de modifier ou d'altérer XLS de quelque manière que ce soit, y compris par l'intermédiaire de tiers.
L'utilisateur s'engage à demander au référent RB la dernière version de XLS.</t>
  </si>
  <si>
    <t>El Usuario declara utilizar la hoja de cálculo como profesional, excluyendo cualquier uso como consumidor, y cumplir siempre con las siguientes obligaciones y prohibiciones:
a) obligación y responsabilidad de verificar que XLS satisface las necesidades específicas y que es compatible con los sistemas de hardware y software;
b) obligación de verificar, en cada uso, la conformidad de los cálculos realizados mediante XLS con la normativa vigente y con el proyecto;
c) obligación de verificar la conformidad legal de los cálculos realizados mediante el Software;
d) obligación de utilizar la última versión de XLS puesta a disposición por la persona de contacto de RB, comprobando en cada uso si se han producido actualizaciones;
e) prohibición de utilizar XLS para productos no indicados en cada sección de cálculo;
f) obligación de utilizar un software antivirus actualizado que cumpla con la norma sectorial vigente;
g) obligación de no ceder a terceros la licencia de uso de XLS y/o de no transferir, pignorar, arrendar, alquilar, compartir con otros o sublicenciar de cualquier otro modo los derechos de uso de la hoja de cálculo;
h) prohibición de modificar o alterar XLS de cualquier forma, incluso a través de terceros.
El usuario se compromete a solicitar a la persona de contacto de RB la última versión de XLS.</t>
  </si>
  <si>
    <t>5. COPYRIGHT</t>
  </si>
  <si>
    <t>5. COPYRIGHTS</t>
  </si>
  <si>
    <t>5. URHEBERRECHTE</t>
  </si>
  <si>
    <t>5. DROITS D'AUTEUR</t>
  </si>
  <si>
    <t>5. DERECHOS DE AUTOR</t>
  </si>
  <si>
    <t>I diritti d'autore sulle formulazioni riportate nel foglio di calcolo e tutti i diritti di proprietà intellettuale e industriale ad esse sottostanti (quali, a titolo esemplificativo e non esaustivo: marchi, brevetti, segreti commerciali, know-how, informazioni riservate) sono e rimangono di esclusiva proprietà di RB.
Il presente accordo non trasferisce all'utente alcuno dei diritti sopra indicati.</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</si>
  <si>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</si>
  <si>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Die Urheberrechte an den in der Tabellenkalkulation enthaltenen Formulierungen sowie alle ihnen zugrunde liegenden geistigen und gewerblichen Eigentumsrechte (wie insbesondere, jedoch nicht ausschließlich: Marken, Patente, Geschäftsgeheimnisse, Know-how, vertrauliche Informationen) sind und bleiben ausschließliches Eigentum von RB.
Diese Vereinbarung überträgt dem Nutzer keine der vorgenannten Rechte.</t>
  </si>
  <si>
    <t>Les droits d'auteur sur les formulations mentionnées dans la feuille de calcul ainsi que tous les droits de propriété intellectuelle et industrielle qui les sous-tendent (tels que, sans s'y limiter : marques, brevets, secrets commerciaux, savoir-faire, informations confidentielles) sont et restent la propriété exclusive de RB.
Le présent accord ne transfère aucun des droits susmentionnés à l'utilisateur.</t>
  </si>
  <si>
    <t>Los derechos de autor sobre las formulaciones indicadas en la hoja de cálculo y todos los derechos de propiedad intelectual e industrial subyacentes a las mismas (tales como, entre otros: marcas, patentes, secretos comerciales, know-how, información confidencial) son y seguirán siendo propiedad exclusiva de RB.
El presente acuerdo no transfiere al usuario ninguno de los derechos anteriores.</t>
  </si>
  <si>
    <t>6. DURATA, RECESSO E RISOLUZIONE</t>
  </si>
  <si>
    <t>6. DURATION, WITHDRAWAL AND TERMINATION</t>
  </si>
  <si>
    <t>6. DAUER, RÜCKTRITT UND BEENDIGUNG</t>
  </si>
  <si>
    <t>6. DURÉE, RETRAIT ET RÉSILIATION</t>
  </si>
  <si>
    <t>6. DURACIÓN, DESISTIMIENTO Y TERMINACIÓN</t>
  </si>
  <si>
    <t>Le presenti condizioni generali e, di conseguenza, la licenza d'uso del foglio di calcolo sono valide dal momento del download fino alla cessazione del suo utilizzo.
L'utente può recedere dal presente Accordo in qualsiasi momento eliminando XLS e tutte le copie dai propri sistemi.
RB può recedere dal presente Accordo e disattivare il servizio in caso di violazione di una qualsiasi delle disposizioni che regolano la licenza d'uso. Nel caso in cui RB comunichi la risoluzione, l'utente dovrà rimuovere il foglio di calcolo e ogni sua copia dai propri sistemi.</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</si>
  <si>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</si>
  <si>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Diese allgemeinen Bedingungen und folglich die Lizenz zur Nutzung der Tabellenkalkulation gelten ab dem Zeitpunkt des Herunterladens bis zur Beendigung ihrer Nutzung.
Der Nutzer kann jederzeit von dieser Vereinbarung zurücktreten, indem er XLS und alle Kopien von seinen Systemen löscht.
RB kann von dieser Vereinbarung zurücktreten und den Dienst deaktivieren, wenn eine der Bestimmungen zur Nutzungslizenz verletzt wird. Falls RB die Beendigung mitteilt, muss der Nutzer die Tabellenkalkulation und alle Kopien davon von seinen Systemen entfernen.</t>
  </si>
  <si>
    <t>Les présentes conditions générales et, par conséquent, la licence d'utilisation de la feuille de calcul, sont valables à compter du téléchargement jusqu'à la cessation de son utilisation.
L'utilisateur peut se retirer du présent Accord à tout moment en supprimant XLS et toutes ses copies de ses systèmes.
RB peut se retirer du présent Accord et désactiver le service en cas de violation de l'une quelconque des dispositions régissant la licence d'utilisation. Si RB notifie sa résiliation, l'utilisateur devra supprimer la feuille de calcul et toutes ses copies de ses systèmes.</t>
  </si>
  <si>
    <t>Estas condiciones generales y, en consecuencia, la licencia de uso de la hoja de cálculo, son válidas desde el momento de su descarga hasta la finalización de su uso.
El usuario podrá desistir del presente Acuerdo en cualquier momento eliminando XLS y todas sus copias de sus sistemas.
RB podrá desistir del presente Acuerdo y desactivar el servicio en caso de incumplimiento de cualquiera de las disposiciones que regulan la licencia de uso. En caso de que RB notifique su terminación, el usuario deberá eliminar la hoja de cálculo y cualquier copia de la misma de sus sistemas.</t>
  </si>
  <si>
    <t>7. RESPONSABILITÀ</t>
  </si>
  <si>
    <t>7. RESPONSIBILITY</t>
  </si>
  <si>
    <t>7. VERANTWORTUNG</t>
  </si>
  <si>
    <t>7. RESPONSABILITÉ</t>
  </si>
  <si>
    <t>7. RESPONSABILIDAD</t>
  </si>
  <si>
    <t>L'utente è l'unico responsabile dell'utilizzo di XLS, inclusi, a titolo esemplificativo e non esaustivo, tutti i calcoli, le stampe, i dati esportati realizzati con esso e/o gli errori di inserimento, la protezione dei file di dati e la manutenzione e, in generale, qualsiasi utilizzo del foglio di calcolo.
RB non garantisce e in nessun caso può essere ritenuta responsabile per danni, perdite e costi o altre conseguenze, per qualsiasi motivo (garanzia per vizi, garanzia per malfunzionamento, responsabilità da prodotto o legale, ecc.) derivanti da:
•   utilizzo di XLS, calcoli effettuati, conformità alla normativa vigente, al progetto o ad altre esigenze dell'Utente;
•   compatibilità hardware e software, virus, malfunzionamenti, difetti, errori o lacune;
•   mancato aggiornamento del foglio di calcolo e/o interruzione della disponibilità del foglio di calcolo e/o risoluzione dell'accordo per qualsiasi motivo;
•   violazione di diritti di proprietà intellettuale di terzi.
L'utente conferma di aver compreso e accettato le esclusioni e limitazioni di responsabilità e di rivendicazione del presente Accordo. L'utente conferma inoltre che il foglio di calcolo è disponibile gratuitamente, che le esclusioni e limitazioni costituiscono elementi fondamentali del presente Accordo e che RB non mette a disposizione dell'utente il proprio foglio di calcolo qualora le esclusioni o limitazioni vengano eliminate o modificate a favore dell'utente.</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</si>
  <si>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</si>
  <si>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Der Nutzer ist allein für die Nutzung von XLS verantwortlich, einschließlich, jedoch nicht beschränkt auf alle damit erstellten Berechnungen, Ausdrucke, Exportdaten und/oder Eingabefehler, den Schutz von Datendateien und die Wartung sowie allgemein für jede Nutzung der Tabellenkalkulation.
RB übernimmt keine Garantie und kann unter keinen Umständen für Schäden, Verluste und Kosten oder sonstige Folgen haftbar gemacht werden, gleich aus welchem Grund (Mängelgewährleistung, Gewährleistung bei Funktionsstörungen, Produkt- oder rechtliche Verantwortung usw.), die sich ergeben aus:
•   Nutzung von XLS, durchgeführten Berechnungen, Einhaltung der geltenden Gesetzgebung, des Projekts oder sonstiger Bedürfnisse des Nutzers;
•   Hardware- und Softwarekompatibilität, Viren, Funktionsstörungen, Mängeln, Fehlern oder Lücken;
•   unterlassener Aktualisierung der Tabellenkalkulation und/oder Unterbrechung der Verfügbarkeit der Tabellenkalkulation und/oder Beendigung der Vereinbarung aus irgendeinem Grund;
•   Verletzung von Rechten des geistigen Eigentums Dritter.
Der Nutzer bestätigt, die Haftungsausschlüsse sowie die Haftungs- und Anspruchsbeschränkungen dieser Vereinbarung verstanden und akzeptiert zu haben. Der Nutzer bestätigt außerdem, dass die Tabellenkalkulation kostenlos verfügbar ist, dass die Ausschlüsse und Beschränkungen wesentliche Bestandteile dieser Vereinbarung sind und dass RB dem Nutzer die Tabellenkalkulation nicht zur Verfügung stellt, wenn die Ausschlüsse oder Beschränkungen zugunsten des Nutzers gestrichen oder geändert werden.</t>
  </si>
  <si>
    <t>L'utilisateur est seul responsable de l'utilisation de XLS, y compris, sans s'y limiter, tous les calculs, impressions, données d'exportation réalisés avec celui-ci et/ou les erreurs de saisie, la protection des fichiers de données et la maintenance, et plus généralement toute utilisation de la feuille de calcul.
RB ne garantit pas et ne peut en aucun cas être tenue responsable des dommages, pertes et coûts ou autres conséquences, pour quelque raison que ce soit (garantie des défauts, garantie de dysfonctionnement, responsabilité produit ou légale, etc.) découlant de :
•   l'utilisation de XLS, des calculs effectués, de la conformité à la législation en vigueur, au projet ou à d'autres besoins de l'Utilisateur ;
•   la compatibilité matérielle et logicielle, les virus, dysfonctionnements, défauts, erreurs ou lacunes ;
•   le défaut de mise à jour de la feuille de calcul et/ou l'interruption de la disponibilité de la feuille de calcul et/ou la résiliation de l'accord pour quelque raison que ce soit ;
•   la violation de droits de propriété intellectuelle de tiers.
L'utilisateur confirme avoir compris et accepté les clauses de non-responsabilité ainsi que les limitations de responsabilité et de réclamation du présent Accord. L'utilisateur confirme également que la feuille de calcul est disponible gratuitement, que les exclusions et limitations constituent des éléments fondamentaux du présent Accord et que RB ne met pas sa feuille de calcul à la disposition de l'utilisateur si les exclusions ou limitations sont supprimées ou modifiées en faveur de l'utilisateur.</t>
  </si>
  <si>
    <t>El usuario es el único responsable del uso de XLS, incluidos, entre otros, todos los cálculos, impresiones, datos de exportación realizados con él y/o los errores de introducción, la protección de los archivos de datos y el mantenimiento y, en general, cualquier uso de la hoja de cálculo.
RB no garantiza y en ningún caso podrá ser considerada responsable de daños, pérdidas y costes u otras consecuencias, por cualquier motivo (garantía por defectos, garantía por mal funcionamiento, responsabilidad de producto o legal, etc.) derivados de:
•   uso de XLS, cálculos realizados, cumplimiento de la legislación vigente, del proyecto u otras necesidades del Usuario;
•   compatibilidad de hardware y software, virus, mal funcionamientos, defectos, errores o lagunas;
•   falta de actualización de la hoja de cálculo y/o interrupción de la disponibilidad de la hoja de cálculo y/o terminación del acuerdo por cualquier motivo;
•   infracción de derechos de propiedad intelectual de terceros.
El usuario confirma haber comprendido y aceptado las exenciones y limitaciones de responsabilidad y reclamación del presente Acuerdo. El usuario confirma además que la hoja de cálculo está disponible de forma gratuita, que las exclusiones y limitaciones son elementos fundamentales del presente Acuerdo y que RB no pone su hoja de cálculo a disposición del usuario si las exclusiones o limitaciones se eliminan o modifican a favor del usuario.</t>
  </si>
  <si>
    <t>8. INDENNIZZO</t>
  </si>
  <si>
    <t>8. REFUND</t>
  </si>
  <si>
    <t>8. FREISTELLUNG</t>
  </si>
  <si>
    <t>8. INDEMNISATION</t>
  </si>
  <si>
    <t>8. INDEMNIZACIÓN</t>
  </si>
  <si>
    <t>L'utente accetta di indennizzare e manlevare RB, le sue controllate e i suoi o i rispettivi funzionari, amministratori, dipendenti, successori e incaricati (ciascuno individualmente, "Beneficiario", collettivamente, i "Beneficiari") dai costi sostenuti in relazione a richieste avanzate da terzi per danni o perdite derivanti dall'utilizzo del foglio di calcolo da parte dell'utente (inclusi, a titolo esemplificativo e non esaustivo, onorari e costi di gestione sostenuti da RB).</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</si>
  <si>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</si>
  <si>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Der Nutzer verpflichtet sich, RB, seine Tochtergesellschaften sowie seine bzw. deren leitenden Angestellten, Geschäftsführer, Mitarbeiter, Rechtsnachfolger und Beauftragten (jeweils einzeln "Begünstigter", zusammen die "Begünstigten") von Kosten freizustellen und schadlos zu halten, die im Zusammenhang mit Ansprüchen Dritter wegen Schäden oder Verlusten entstehen, die aus der Nutzung der Tabellenkalkulation durch den Nutzer herrühren (einschließlich, jedoch nicht beschränkt auf von RB getragene Gebühren und Verwaltungskosten).</t>
  </si>
  <si>
    <t>L'utilisateur accepte d'indemniser et de dégager de toute responsabilité RB, ses filiales ainsi que ses ou leurs dirigeants, administrateurs, employés, successeurs et mandataires (chacun individuellement, "Bénéficiaire", collectivement, les "Bénéficiaires") pour les coûts encourus en relation avec des réclamations formulées par des tiers pour des dommages ou pertes découlant de l'utilisation de la feuille de calcul par l'utilisateur (y compris, sans s'y limiter, les honoraires et frais de gestion supportés par RB).</t>
  </si>
  <si>
    <t>El usuario acepta indemnizar y mantener indemne a RB, sus filiales y sus respectivos directivos, administradores, empleados, sucesores y designados (cada uno individualmente, "Beneficiario", colectivamente, los "Beneficiarios") por los costes incurridos en relación con reclamaciones formuladas por terceros por daños o pérdidas derivados del uso de la hoja de cálculo por parte del usuario (incluidos, entre otros, honorarios y costes de gestión incurridos por RB).</t>
  </si>
  <si>
    <t>9. VARIE</t>
  </si>
  <si>
    <t>9. MISCELLANEOUS</t>
  </si>
  <si>
    <t>9. SONSTIGES</t>
  </si>
  <si>
    <t>9. DIVERS</t>
  </si>
  <si>
    <t>9. VARIOS</t>
  </si>
  <si>
    <t>Le presenti condizioni generali costituiscono l'intero accordo tra RB e l'utente in merito all'oggetto e sostituiscono tutti i precedenti accordi, orali o scritti, nonché qualsiasi accordo tra RB e l'utente.</t>
  </si>
  <si>
    <t>These general conditions constitute the entire agreement between RB and the user regarding the subject matter and replace all previous, oral or written agreements, as well as any agreements between RB and the user.</t>
  </si>
  <si>
    <t>Diese allgemeinen Bedingungen stellen die gesamte Vereinbarung zwischen RB und dem Nutzer in Bezug auf den Vertragsgegenstand dar und ersetzen alle früheren mündlichen oder schriftlichen Vereinbarungen sowie sämtliche Absprachen zwischen RB und dem Nutzer.</t>
  </si>
  <si>
    <t>Les présentes conditions générales constituent l'intégralité de l'accord entre RB et l'utilisateur concernant l'objet du présent document et remplacent tous les accords antérieurs, oraux ou écrits, ainsi que tout accord entre RB et l'utilisateur.</t>
  </si>
  <si>
    <t>Estas condiciones generales constituyen el acuerdo íntegro entre RB y el usuario en relación con el objeto del mismo y sustituyen todos los acuerdos anteriores, orales o escritos, así como cualquier acuerdo entre RB y el usuario.</t>
  </si>
  <si>
    <t>10. LINGUA</t>
  </si>
  <si>
    <t>10. LANGUAGE</t>
  </si>
  <si>
    <t>10. SPRACHE</t>
  </si>
  <si>
    <t>10. LANGUE</t>
  </si>
  <si>
    <t>10. IDIOMA</t>
  </si>
  <si>
    <t>In caso di differenze tra le versioni delle presenti condizioni nelle diverse lingue, il testo inglese è vincolante e prevale sulle traduzioni.</t>
  </si>
  <si>
    <t>In the event of differences between versions of these conditions in the various languages, the English text is binding and takes precedence with respect to the translations.</t>
  </si>
  <si>
    <t>Bei Abweichungen zwischen den Fassungen dieser Bedingungen in den verschiedenen Sprachen ist der englische Text verbindlich und hat Vorrang gegenüber den Übersetzungen.</t>
  </si>
  <si>
    <t>En cas de divergences entre les versions des présentes conditions dans les différentes langues, le texte anglais fait foi et prévaut sur les traductions.</t>
  </si>
  <si>
    <t>En caso de diferencias entre las versiones de estas condiciones en los distintos idiomas, el texto en inglés será vinculante y prevalecerá sobre las traducciones.</t>
  </si>
  <si>
    <t>11. LEGGE APPLICABILE E FORO COMPETENTE</t>
  </si>
  <si>
    <t>11. APPLICABLE LAW AND COURT OF JURISDICTION</t>
  </si>
  <si>
    <t>11. ANWENDBARES RECHT UND GERICHTSSTAND</t>
  </si>
  <si>
    <t>11. DROIT APPLICABLE ET TRIBUNAL COMPÉTENT</t>
  </si>
  <si>
    <t>11. LEY APLICABLE Y JURISDICCIÓN COMPETENTE</t>
  </si>
  <si>
    <t>Il presente accordo e qualsiasi rapporto tra le parti sono regolati esclusivamente dalla legge italiana. 
Qualsiasi controversia che dovesse insorgere tra le parti in relazione al presente accordo e che non possa essere risolta amichevolmente sarà deferita al tribunale di Bolzano.</t>
  </si>
  <si>
    <t>This agreement and any relationship between the parties is governed exclusively by the Italian law. 
Any dispute that may arise between the parties in relation to this agreement, that cannot be resolved amicably, shall be brought before the court of Bolzano.</t>
  </si>
  <si>
    <t>Diese Vereinbarung und jede Beziehung zwischen den Parteien unterliegen ausschließlich italienischem Recht. 
Jede Streitigkeit, die zwischen den Parteien im Zusammenhang mit dieser Vereinbarung entstehen kann und nicht gütlich beigelegt werden kann, ist vor das Gericht Bozen zu bringen.</t>
  </si>
  <si>
    <t>Le présent accord et toute relation entre les parties sont régis exclusivement par le droit italien. 
Tout litige susceptible de survenir entre les parties en relation avec le présent accord et ne pouvant être résolu à l'amiable sera porté devant le tribunal de Bolzano.</t>
  </si>
  <si>
    <t>El presente acuerdo y cualquier relación entre las partes se regirán exclusivamente por la ley italiana. 
Cualquier controversia que pueda surgir entre las partes en relación con el presente acuerdo y que no pueda resolverse amistosamente será sometida al tribunal de Bolzano.</t>
  </si>
  <si>
    <t>12. PRIVACY</t>
  </si>
  <si>
    <t>12. DATENSCHUTZ</t>
  </si>
  <si>
    <t>12. CONFIDENTIALITÉ</t>
  </si>
  <si>
    <t>12. PRIVACIDAD</t>
  </si>
  <si>
    <t>Fare riferimento all'informativa privacy disponibile al link:</t>
  </si>
  <si>
    <t>Refer to the privacy policy available at the link:</t>
  </si>
  <si>
    <t>Bitte beachten Sie die unter folgendem Link verfügbare Datenschutzerklärung:</t>
  </si>
  <si>
    <t>Veuillez vous référer à la politique de confidentialité disponible au lien suivant :</t>
  </si>
  <si>
    <t>Consulte la política de privacidad disponible en el enlace:</t>
  </si>
  <si>
    <t>ACCETTA</t>
  </si>
  <si>
    <t>ACCEPT</t>
  </si>
  <si>
    <t>AKZEPTIEREN</t>
  </si>
  <si>
    <t>ACCEPTER</t>
  </si>
  <si>
    <t>ACEPTAR</t>
  </si>
  <si>
    <t>INPUT</t>
  </si>
  <si>
    <t>Informazioni progetto</t>
  </si>
  <si>
    <t>Project informations</t>
  </si>
  <si>
    <t>Projektinformationen</t>
  </si>
  <si>
    <t>Informations du projet</t>
  </si>
  <si>
    <t>Información del proyecto</t>
  </si>
  <si>
    <t>Data</t>
  </si>
  <si>
    <t>Datum</t>
  </si>
  <si>
    <t>Date</t>
  </si>
  <si>
    <t>Fecha</t>
  </si>
  <si>
    <t>Comune</t>
  </si>
  <si>
    <t>Municipality</t>
  </si>
  <si>
    <t>Gemeinde</t>
  </si>
  <si>
    <t>Commune</t>
  </si>
  <si>
    <t>Municipio</t>
  </si>
  <si>
    <t>Provincia</t>
  </si>
  <si>
    <t>Province</t>
  </si>
  <si>
    <t>Provinz</t>
  </si>
  <si>
    <t>Progetto</t>
  </si>
  <si>
    <t>Project</t>
  </si>
  <si>
    <t>Projekt</t>
  </si>
  <si>
    <t>Projet</t>
  </si>
  <si>
    <t>Proyecto</t>
  </si>
  <si>
    <t>Progettista</t>
  </si>
  <si>
    <t>Designer</t>
  </si>
  <si>
    <t>Planer</t>
  </si>
  <si>
    <t>Concepteur</t>
  </si>
  <si>
    <t>Diseñador</t>
  </si>
  <si>
    <t>Committente</t>
  </si>
  <si>
    <t>Client</t>
  </si>
  <si>
    <t>Auftraggeber</t>
  </si>
  <si>
    <t>Cliente</t>
  </si>
  <si>
    <t>Normativa</t>
  </si>
  <si>
    <t>Standard</t>
  </si>
  <si>
    <t>Norm</t>
  </si>
  <si>
    <t>Norme</t>
  </si>
  <si>
    <t>Norma</t>
  </si>
  <si>
    <t>Note</t>
  </si>
  <si>
    <t>Notes</t>
  </si>
  <si>
    <t>Anmerkungen</t>
  </si>
  <si>
    <t>Notas</t>
  </si>
  <si>
    <t>Carichi di progetto</t>
  </si>
  <si>
    <t>Design Loads</t>
  </si>
  <si>
    <t>Bemessungslasten</t>
  </si>
  <si>
    <t>Charges de calcul</t>
  </si>
  <si>
    <t>Cargas de diseño</t>
  </si>
  <si>
    <t>Carichi permanenti</t>
  </si>
  <si>
    <t>Permanent loads</t>
  </si>
  <si>
    <t>Ständige Lasten</t>
  </si>
  <si>
    <t>Charges permanentes</t>
  </si>
  <si>
    <t>Cargas permanentes</t>
  </si>
  <si>
    <t>Carichi accidentali</t>
  </si>
  <si>
    <t>Accidental loads</t>
  </si>
  <si>
    <t>Veränderliche Lasten</t>
  </si>
  <si>
    <t>Charges variables</t>
  </si>
  <si>
    <t>Cargas variables</t>
  </si>
  <si>
    <t>Coefficiente parziale</t>
  </si>
  <si>
    <t>Partial factor</t>
  </si>
  <si>
    <t>Teilsicherheitsbeiwert</t>
  </si>
  <si>
    <t>Coefficient partiel</t>
  </si>
  <si>
    <t>Coeficiente parcial</t>
  </si>
  <si>
    <t>Durata del carico</t>
  </si>
  <si>
    <t>Load duration</t>
  </si>
  <si>
    <t>Lasteinwirkungsdauer</t>
  </si>
  <si>
    <t>Durée de chargement</t>
  </si>
  <si>
    <t>Duración de la carga</t>
  </si>
  <si>
    <t>Permanente</t>
  </si>
  <si>
    <t>Permanent</t>
  </si>
  <si>
    <t>Ständig</t>
  </si>
  <si>
    <t>Lungo termine</t>
  </si>
  <si>
    <t>Long term</t>
  </si>
  <si>
    <t>Langfristig</t>
  </si>
  <si>
    <t>Long terme</t>
  </si>
  <si>
    <t>Largo plazo</t>
  </si>
  <si>
    <t>Medio termine</t>
  </si>
  <si>
    <t>Medium term</t>
  </si>
  <si>
    <t>Mittelfristig</t>
  </si>
  <si>
    <t>Moyen terme</t>
  </si>
  <si>
    <t>Medio plazo</t>
  </si>
  <si>
    <t>Breve termine</t>
  </si>
  <si>
    <t>Short term</t>
  </si>
  <si>
    <t>Kurzfristig</t>
  </si>
  <si>
    <t>Court terme</t>
  </si>
  <si>
    <t>Corto plazo</t>
  </si>
  <si>
    <t>Istantaneo</t>
  </si>
  <si>
    <t>Istantaneous</t>
  </si>
  <si>
    <t>Sehr kurz</t>
  </si>
  <si>
    <t>Instantané</t>
  </si>
  <si>
    <t>Instantáneo</t>
  </si>
  <si>
    <t>Classe di servizio</t>
  </si>
  <si>
    <t>Service Class</t>
  </si>
  <si>
    <t>Nutzungsklasse</t>
  </si>
  <si>
    <t>Classe de service</t>
  </si>
  <si>
    <t>Clase de servicio</t>
  </si>
  <si>
    <t>Caratteristiche del legno</t>
  </si>
  <si>
    <t>Timber properties</t>
  </si>
  <si>
    <t>Holzeigenschaften</t>
  </si>
  <si>
    <t>Propriétés du bois</t>
  </si>
  <si>
    <t>Propiedades de la madera</t>
  </si>
  <si>
    <t>(1) Pannello</t>
  </si>
  <si>
    <t>(1) Slab</t>
  </si>
  <si>
    <t>Element 1</t>
  </si>
  <si>
    <t>Élément 1</t>
  </si>
  <si>
    <t>Elemento 1</t>
  </si>
  <si>
    <t>Tipo di legno</t>
  </si>
  <si>
    <t>Wood type</t>
  </si>
  <si>
    <t>Holzart</t>
  </si>
  <si>
    <t>Type de bois</t>
  </si>
  <si>
    <t>Tipo de madera</t>
  </si>
  <si>
    <t>(2) Nervatura</t>
  </si>
  <si>
    <t>(2) Rib beam</t>
  </si>
  <si>
    <t>Element 2</t>
  </si>
  <si>
    <t>Élément 2</t>
  </si>
  <si>
    <t>Elemento 2</t>
  </si>
  <si>
    <t>Geometria</t>
  </si>
  <si>
    <t>Geometry</t>
  </si>
  <si>
    <t>Geometrie</t>
  </si>
  <si>
    <t>Géométrie</t>
  </si>
  <si>
    <t>Geometría</t>
  </si>
  <si>
    <t>(1) Platte</t>
  </si>
  <si>
    <t>(1) Panneau</t>
  </si>
  <si>
    <t>(1) Panel</t>
  </si>
  <si>
    <t>Tipo CLT</t>
  </si>
  <si>
    <t>CLT type</t>
  </si>
  <si>
    <t>BSP-Typ</t>
  </si>
  <si>
    <t>Type CLT</t>
  </si>
  <si>
    <t>Altezza</t>
  </si>
  <si>
    <t>Height</t>
  </si>
  <si>
    <t>Höhe</t>
  </si>
  <si>
    <t>Hauteur</t>
  </si>
  <si>
    <t>Altura</t>
  </si>
  <si>
    <t>Base</t>
  </si>
  <si>
    <t>Breite</t>
  </si>
  <si>
    <t>Resistenza a taglio per rotolamento</t>
  </si>
  <si>
    <t>Rolling shear resistance</t>
  </si>
  <si>
    <t>Rollschubfestigkeit</t>
  </si>
  <si>
    <t>Résistance au cisaillement roulant</t>
  </si>
  <si>
    <t>Resistencia al cortante por rodadura</t>
  </si>
  <si>
    <t>(2) Rippenbalken</t>
  </si>
  <si>
    <t>(2) Nervure</t>
  </si>
  <si>
    <t>(2) Nervio</t>
  </si>
  <si>
    <t>Larghezza minima</t>
  </si>
  <si>
    <t>Minimum width</t>
  </si>
  <si>
    <t>Mindestbreite</t>
  </si>
  <si>
    <t>Largeur minimale</t>
  </si>
  <si>
    <t>Anchura mínima</t>
  </si>
  <si>
    <t>Luce della trave</t>
  </si>
  <si>
    <t>Beam span</t>
  </si>
  <si>
    <t>Spannweite des Balkens</t>
  </si>
  <si>
    <t>Portée de la poutre</t>
  </si>
  <si>
    <t>Luz de la viga</t>
  </si>
  <si>
    <t>Configurazione sistema di connessione</t>
  </si>
  <si>
    <t>Connection system configuration</t>
  </si>
  <si>
    <t>Konfiguration des Verbindungssystems</t>
  </si>
  <si>
    <t>Configuration du système de connexion</t>
  </si>
  <si>
    <t>Configuración del sistema de conexión</t>
  </si>
  <si>
    <t>All’appoggio</t>
  </si>
  <si>
    <t>At Support</t>
  </si>
  <si>
    <t>Am Auflager</t>
  </si>
  <si>
    <t>À l’appui</t>
  </si>
  <si>
    <t>En el apoyo</t>
  </si>
  <si>
    <t>Tipo SHARP METAL</t>
  </si>
  <si>
    <t>SHARP METAL type</t>
  </si>
  <si>
    <t>SHARP METAL-Typ</t>
  </si>
  <si>
    <t>Type SHARP METAL</t>
  </si>
  <si>
    <t>Lunghezza di influenza</t>
  </si>
  <si>
    <t>Influence lenght</t>
  </si>
  <si>
    <t>Einflusslänge</t>
  </si>
  <si>
    <t>Longueur d’influence</t>
  </si>
  <si>
    <t>Longitud de influencia</t>
  </si>
  <si>
    <t>Numero di SHARP METAL</t>
  </si>
  <si>
    <t>Number of SHARP METAL</t>
  </si>
  <si>
    <t>Anzahl SHARP METAL</t>
  </si>
  <si>
    <t>Nombre de SHARP METAL</t>
  </si>
  <si>
    <t>Número de SHARP METAL</t>
  </si>
  <si>
    <t>Diametro TBS MAX</t>
  </si>
  <si>
    <t>TBS MAX diameter</t>
  </si>
  <si>
    <t>TBS MAX-Durchmesser</t>
  </si>
  <si>
    <t>Diamètre TBS MAX</t>
  </si>
  <si>
    <t>Diámetro TBS MAX</t>
  </si>
  <si>
    <t>In mezzeria</t>
  </si>
  <si>
    <t>At mid span</t>
  </si>
  <si>
    <t>In Feldmitte</t>
  </si>
  <si>
    <t>À mi-portée</t>
  </si>
  <si>
    <t>En el centro del vano</t>
  </si>
  <si>
    <t>OUTPUT</t>
  </si>
  <si>
    <t>Verifiche di resistenza - SLU (t = 0)</t>
  </si>
  <si>
    <t>Resistance verification - ULS (t  = 0)</t>
  </si>
  <si>
    <t>Tragfähigkeitsnachweis - GZT (t = 0)</t>
  </si>
  <si>
    <t>Vérification de résistance - ELU (t = 0)</t>
  </si>
  <si>
    <t>Verificación de resistencia - ELU (t = 0)</t>
  </si>
  <si>
    <t>Presso-flessione</t>
  </si>
  <si>
    <t>Press-bending</t>
  </si>
  <si>
    <t>Druck-Biegung</t>
  </si>
  <si>
    <t>Flexion-compression</t>
  </si>
  <si>
    <t>Compresión-flexión</t>
  </si>
  <si>
    <t>Taglio</t>
  </si>
  <si>
    <t>Shear</t>
  </si>
  <si>
    <t>Schub</t>
  </si>
  <si>
    <t>Cisaillement</t>
  </si>
  <si>
    <t>Cortante</t>
  </si>
  <si>
    <t>Tenso-flessione</t>
  </si>
  <si>
    <t>Tens-bending</t>
  </si>
  <si>
    <t>Zug-Biegung</t>
  </si>
  <si>
    <t>Traction-flexion</t>
  </si>
  <si>
    <t>Tracción-flexión</t>
  </si>
  <si>
    <t>Connessione</t>
  </si>
  <si>
    <t>Connection</t>
  </si>
  <si>
    <t>Verbindung</t>
  </si>
  <si>
    <t>Connexion</t>
  </si>
  <si>
    <t>Conexión</t>
  </si>
  <si>
    <t>Verifica della connessione</t>
  </si>
  <si>
    <t>Connection verification</t>
  </si>
  <si>
    <t>Verbindungsnachweis</t>
  </si>
  <si>
    <t>Vérification de la connexion</t>
  </si>
  <si>
    <t>Verificación de la conexión</t>
  </si>
  <si>
    <t>Verifiche di resistenza - SLU (t = ∞)</t>
  </si>
  <si>
    <r>
      <t xml:space="preserve">Resistance verification - ULS (t  = </t>
    </r>
    <r>
      <rPr>
        <sz val="11"/>
        <color theme="1"/>
        <rFont val="Verdana"/>
        <family val="2"/>
      </rPr>
      <t>∞</t>
    </r>
    <r>
      <rPr>
        <sz val="11"/>
        <color theme="1"/>
        <rFont val="Calibri"/>
        <family val="2"/>
      </rPr>
      <t>)</t>
    </r>
  </si>
  <si>
    <t>Tragfähigkeitsnachweis - GZT (t = ∞)</t>
  </si>
  <si>
    <t>Vérification de résistance - ELU (t = ∞)</t>
  </si>
  <si>
    <t>Verificación de resistencia - ELU (t = ∞)</t>
  </si>
  <si>
    <t>Verifica di freccia</t>
  </si>
  <si>
    <t>Deflection verification - ELS (t = 0)</t>
  </si>
  <si>
    <t>Durchbiegungsnachweis - GZG (t = 0)</t>
  </si>
  <si>
    <t>Vérification de la flèche - ELS (t = 0)</t>
  </si>
  <si>
    <t>Verificación de flecha - ELS (t = 0)</t>
  </si>
  <si>
    <t>Freccia massima</t>
  </si>
  <si>
    <t>Maximum deflection</t>
  </si>
  <si>
    <t>Maximale Durchbiegung</t>
  </si>
  <si>
    <t>Flèche maximale</t>
  </si>
  <si>
    <t>Flecha máxima</t>
  </si>
  <si>
    <t>Freccia istantanea</t>
  </si>
  <si>
    <t>Istantaneous deflection</t>
  </si>
  <si>
    <t>Sofortige Durchbiegung</t>
  </si>
  <si>
    <t>Flèche instantanée</t>
  </si>
  <si>
    <t>Flecha instantánea</t>
  </si>
  <si>
    <t>Verifica di freccia - SLE (t = ∞)</t>
  </si>
  <si>
    <t>Deflection verification - ELS (t = ∞)</t>
  </si>
  <si>
    <t>Durchbiegungsnachweis - GZG (t = ∞)</t>
  </si>
  <si>
    <t>Vérification de la flèche - ELS (t = ∞)</t>
  </si>
  <si>
    <t>Verificación de flecha - ELS (t = ∞)</t>
  </si>
  <si>
    <t>Freccia finale</t>
  </si>
  <si>
    <t>Final deflection</t>
  </si>
  <si>
    <t>Enddurchbiegung</t>
  </si>
  <si>
    <t>Flèche finale</t>
  </si>
  <si>
    <t>Flecha final</t>
  </si>
  <si>
    <t>Verifica delle vibrazioni</t>
  </si>
  <si>
    <t>Vibration verification</t>
  </si>
  <si>
    <t>Schwingungsnachweis</t>
  </si>
  <si>
    <t>Vérification des vibrations</t>
  </si>
  <si>
    <t>Verificación de vibraciones</t>
  </si>
  <si>
    <t>Rigidezza laterale</t>
  </si>
  <si>
    <t>Lateral stiffness</t>
  </si>
  <si>
    <t>Seitliche Steifigkeit</t>
  </si>
  <si>
    <t>Rigidité latérale</t>
  </si>
  <si>
    <t>Rigidez lateral</t>
  </si>
  <si>
    <t>Smorzamento</t>
  </si>
  <si>
    <t>Damping</t>
  </si>
  <si>
    <t>Dämpfung</t>
  </si>
  <si>
    <t>Amortissement</t>
  </si>
  <si>
    <t>Amortiguamiento</t>
  </si>
  <si>
    <t>Larghezza collaborante</t>
  </si>
  <si>
    <t>Collaborating width</t>
  </si>
  <si>
    <t>Mitwirkende Breite</t>
  </si>
  <si>
    <t>Largeur collaborante</t>
  </si>
  <si>
    <t>Anchura colaborante</t>
  </si>
  <si>
    <t>Frequenza fondamentale</t>
  </si>
  <si>
    <t>Fundamental Frequency</t>
  </si>
  <si>
    <t>Grundfrequenz</t>
  </si>
  <si>
    <t>Fréquence fondamentale</t>
  </si>
  <si>
    <t>Frecuencia fundamental</t>
  </si>
  <si>
    <t>Limite di freccia</t>
  </si>
  <si>
    <t>Deflection limit</t>
  </si>
  <si>
    <t>Durchbiegungsgrenze</t>
  </si>
  <si>
    <t>Limite de flèche</t>
  </si>
  <si>
    <t>Límite de flecha</t>
  </si>
  <si>
    <t>Velocità istantanea</t>
  </si>
  <si>
    <t>Istantaneous velocity</t>
  </si>
  <si>
    <t>Sofortige Geschwindigkeit</t>
  </si>
  <si>
    <t>Vitesse instantanée</t>
  </si>
  <si>
    <t>Velocidad instantánea</t>
  </si>
  <si>
    <t>Velocità massima</t>
  </si>
  <si>
    <t>Maximum velocity</t>
  </si>
  <si>
    <t>Maximale Geschwindigkeit</t>
  </si>
  <si>
    <t>Vitesse maximale</t>
  </si>
  <si>
    <t>Velocidad máxima</t>
  </si>
  <si>
    <t>Accelerazione massima</t>
  </si>
  <si>
    <t>Maximum acceleration</t>
  </si>
  <si>
    <t>Maximale Beschleunigung</t>
  </si>
  <si>
    <t>Accélération maximale</t>
  </si>
  <si>
    <t>Aceleración máxima</t>
  </si>
  <si>
    <t>Vibrazioni non percepibili</t>
  </si>
  <si>
    <t>Vibrations not perceptible</t>
  </si>
  <si>
    <t>Nicht wahrnehmbare Schwingungen</t>
  </si>
  <si>
    <t>Vibrations non perceptibles</t>
  </si>
  <si>
    <t>Vibraciones no perceptibles</t>
  </si>
  <si>
    <t>Vibrazioni percepibili non fastidiose</t>
  </si>
  <si>
    <t>Perceptible vibrations not annoying</t>
  </si>
  <si>
    <t>Wahrnehmbare, nicht störende Schwingungen</t>
  </si>
  <si>
    <t>Vibrations perceptibles non gênantes</t>
  </si>
  <si>
    <t>Vibraciones perceptibles no molestas</t>
  </si>
  <si>
    <t>Vibrazioni non accettabili</t>
  </si>
  <si>
    <t>Unacceptable vibrations</t>
  </si>
  <si>
    <t>Nicht akzeptable Schwingungen</t>
  </si>
  <si>
    <t>Vibrations non acceptables</t>
  </si>
  <si>
    <t>Vibraciones no aceptables</t>
  </si>
  <si>
    <t>REPORT</t>
  </si>
  <si>
    <t>Relazione tecnica di calcolo</t>
  </si>
  <si>
    <t>Technical calculation report</t>
  </si>
  <si>
    <t>Sharp metal calculation</t>
  </si>
  <si>
    <t>At support</t>
  </si>
  <si>
    <t>Panel type</t>
  </si>
  <si>
    <t>Panel height</t>
  </si>
  <si>
    <t>Panel width</t>
  </si>
  <si>
    <t>Number of layers</t>
  </si>
  <si>
    <t>Effective inertia</t>
  </si>
  <si>
    <t>Effective area</t>
  </si>
  <si>
    <t>Design loads on slab surface</t>
  </si>
  <si>
    <t>Service class</t>
  </si>
  <si>
    <t>Design loads on the beam</t>
  </si>
  <si>
    <t>Load on the coupled beam</t>
  </si>
  <si>
    <t>Influence span</t>
  </si>
  <si>
    <t>Characteristics</t>
  </si>
  <si>
    <t>Connection stiffness</t>
  </si>
  <si>
    <t>Sharp metal type:</t>
  </si>
  <si>
    <t>ELS Stiffness</t>
  </si>
  <si>
    <t>ULS Stiffness</t>
  </si>
  <si>
    <t>SHARP METAL lenght</t>
  </si>
  <si>
    <t>Connection design resistance</t>
  </si>
  <si>
    <t>Coefficients</t>
  </si>
  <si>
    <t>Loads and internal actions</t>
  </si>
  <si>
    <t>Design load (permanent)</t>
  </si>
  <si>
    <t>Design load</t>
  </si>
  <si>
    <t>ULS combinations</t>
  </si>
  <si>
    <t>Bending moment</t>
  </si>
  <si>
    <t>Shear force</t>
  </si>
  <si>
    <t>Elements stiffness at mid span at ULS
(t = 0)</t>
  </si>
  <si>
    <t>Bending stiffness</t>
  </si>
  <si>
    <t>Axial stiffness</t>
  </si>
  <si>
    <r>
      <t xml:space="preserve">Elements stiffness at mid span at ULS
[g] (t = </t>
    </r>
    <r>
      <rPr>
        <sz val="11"/>
        <color theme="1"/>
        <rFont val="Verdana"/>
        <family val="2"/>
      </rPr>
      <t>∞</t>
    </r>
    <r>
      <rPr>
        <sz val="11"/>
        <color theme="1"/>
        <rFont val="Calibri"/>
        <family val="2"/>
      </rPr>
      <t>)</t>
    </r>
  </si>
  <si>
    <t>Rigidezza sistema composto</t>
  </si>
  <si>
    <t>Composite system stiffness</t>
  </si>
  <si>
    <t>Composite bending stiffness</t>
  </si>
  <si>
    <t>Composite axial stiffness</t>
  </si>
  <si>
    <t>Distanza fra baricentro elemento1  ed elemento 2</t>
  </si>
  <si>
    <t>Distance between centres of mass of (1) and (2)</t>
  </si>
  <si>
    <t>Composite system effective stiffness</t>
  </si>
  <si>
    <t>Composite system efficency</t>
  </si>
  <si>
    <r>
      <t xml:space="preserve">Elements stiffness at mid span at ULS
[g+q] (t = </t>
    </r>
    <r>
      <rPr>
        <sz val="11"/>
        <color theme="1"/>
        <rFont val="Verdana"/>
        <family val="2"/>
      </rPr>
      <t>∞</t>
    </r>
    <r>
      <rPr>
        <sz val="11"/>
        <color theme="1"/>
        <rFont val="Calibri"/>
        <family val="2"/>
      </rPr>
      <t>)</t>
    </r>
  </si>
  <si>
    <t>Elements verification at ULS
[g+q] (t = 0)</t>
  </si>
  <si>
    <t>Azione assiale sull'elemento (1)</t>
  </si>
  <si>
    <t>Axial load on element (1)</t>
  </si>
  <si>
    <t>Momento flettente sull'elemento (1)</t>
  </si>
  <si>
    <t>Bending moment on element (1)</t>
  </si>
  <si>
    <t>Tensioni massime da azione assiale</t>
  </si>
  <si>
    <t>Axial load stress</t>
  </si>
  <si>
    <t>Tensioni massime da momento</t>
  </si>
  <si>
    <t>Bending moment stress</t>
  </si>
  <si>
    <t>Presso flessione</t>
  </si>
  <si>
    <t>Combined compression and bending</t>
  </si>
  <si>
    <t>Elements stiffness at support at ULS
(t = 0)</t>
  </si>
  <si>
    <t>Elements stiffness at support at ULS
[g] (t = ∞)</t>
  </si>
  <si>
    <r>
      <t xml:space="preserve">Elements stiffness at support at ULS
[g+q] (t = </t>
    </r>
    <r>
      <rPr>
        <sz val="11"/>
        <color theme="1"/>
        <rFont val="Verdana"/>
        <family val="2"/>
      </rPr>
      <t>∞</t>
    </r>
    <r>
      <rPr>
        <sz val="11"/>
        <color theme="1"/>
        <rFont val="Calibri"/>
        <family val="2"/>
      </rPr>
      <t>)</t>
    </r>
  </si>
  <si>
    <t>CLT shear verification</t>
  </si>
  <si>
    <t>CLT rolling shear verification</t>
  </si>
  <si>
    <t>Axial load on element (2)</t>
  </si>
  <si>
    <t>Bending moment on element (2)</t>
  </si>
  <si>
    <t>Combined tension and bending</t>
  </si>
  <si>
    <t>GL shear verification</t>
  </si>
  <si>
    <t>Connection verification at support</t>
  </si>
  <si>
    <t>Design force in the connection</t>
  </si>
  <si>
    <t>Design resistance of the connection</t>
  </si>
  <si>
    <t>Connection verification at mid span</t>
  </si>
  <si>
    <t>Elements verification at ULS
[g] (t = ∞)</t>
  </si>
  <si>
    <t>Elements verification at ULS
[g+q] (t = ∞)</t>
  </si>
  <si>
    <t>Connector displacement at ULS</t>
  </si>
  <si>
    <t>[g+q] (t = 0)</t>
  </si>
  <si>
    <t>[g] (t = ∞)</t>
  </si>
  <si>
    <t>[g+q] (t = ∞)</t>
  </si>
  <si>
    <t>Deflection verification - ELS</t>
  </si>
  <si>
    <t>Stiffness at midspan (t = 0)</t>
  </si>
  <si>
    <t>System stiffnesses</t>
  </si>
  <si>
    <t>Deflection verification</t>
  </si>
  <si>
    <t>Deflection at t = 0</t>
  </si>
  <si>
    <t>Deflection at t = ∞</t>
  </si>
  <si>
    <t>Istantaneous deflection [g] (t = 0)</t>
  </si>
  <si>
    <t>Istantaneous deflection [q] (t = 0)</t>
  </si>
  <si>
    <t>Long term deflection [g] (t = ∞)</t>
  </si>
  <si>
    <t>Long term deflection [q] (t = ∞)</t>
  </si>
  <si>
    <t>Mass per unit of area</t>
  </si>
  <si>
    <t>Transversal stiffness per unit meter</t>
  </si>
  <si>
    <t>Dampening</t>
  </si>
  <si>
    <t>Effective width</t>
  </si>
  <si>
    <t>Longitudinal stiffness per unit meter</t>
  </si>
  <si>
    <t>Fundamental frequency</t>
  </si>
  <si>
    <t>Deflection verification (1kN)</t>
  </si>
  <si>
    <t>Number of vibration modes (f&lt;40Hz)</t>
  </si>
  <si>
    <t>Impulse response</t>
  </si>
  <si>
    <t>Speed limit</t>
  </si>
  <si>
    <t>Maximum acelleration</t>
  </si>
  <si>
    <t>UNI EN 1995-1-1:2014 (Eurocodice 5) – Progettazione delle strutture di legno – Parte 1-1: Regole generali e regole per gli edifici.</t>
  </si>
  <si>
    <t>UNI EN 1995-1-1:2014 (Eurocode 5) – Design of timber structures – Part 1-1: General rules and rules for buildings.</t>
  </si>
  <si>
    <t>SHARP_METAL_CALCULATOR_v1.2</t>
  </si>
  <si>
    <t>SHARP METAL</t>
  </si>
  <si>
    <t>UNI EN 1995:2014</t>
  </si>
  <si>
    <r>
      <t>g</t>
    </r>
    <r>
      <rPr>
        <i/>
        <vertAlign val="subscript"/>
        <sz val="10"/>
        <color theme="1"/>
        <rFont val="Times New Roman"/>
        <family val="1"/>
      </rPr>
      <t>1,k</t>
    </r>
    <r>
      <rPr>
        <i/>
        <sz val="10"/>
        <color theme="1"/>
        <rFont val="Times New Roman"/>
        <family val="1"/>
      </rPr>
      <t xml:space="preserve"> + g</t>
    </r>
    <r>
      <rPr>
        <i/>
        <vertAlign val="subscript"/>
        <sz val="10"/>
        <color theme="1"/>
        <rFont val="Times New Roman"/>
        <family val="1"/>
      </rPr>
      <t>2,k</t>
    </r>
  </si>
  <si>
    <r>
      <t>kN/m</t>
    </r>
    <r>
      <rPr>
        <vertAlign val="superscript"/>
        <sz val="10"/>
        <color theme="1"/>
        <rFont val="Calibri"/>
        <family val="2"/>
        <scheme val="minor"/>
      </rPr>
      <t>2</t>
    </r>
  </si>
  <si>
    <r>
      <t>q</t>
    </r>
    <r>
      <rPr>
        <i/>
        <vertAlign val="subscript"/>
        <sz val="10"/>
        <color theme="1"/>
        <rFont val="Times New Roman"/>
        <family val="1"/>
      </rPr>
      <t>k</t>
    </r>
  </si>
  <si>
    <r>
      <t>ψ</t>
    </r>
    <r>
      <rPr>
        <i/>
        <vertAlign val="subscript"/>
        <sz val="10"/>
        <color theme="1"/>
        <rFont val="Times New Roman"/>
        <family val="1"/>
      </rPr>
      <t>2,1</t>
    </r>
  </si>
  <si>
    <t>C24 - EN338:2016</t>
  </si>
  <si>
    <t>GL24h - UNI EN14080:2013</t>
  </si>
  <si>
    <t xml:space="preserve">80mm-3s-   30 20 30   </t>
  </si>
  <si>
    <r>
      <t>b</t>
    </r>
    <r>
      <rPr>
        <i/>
        <vertAlign val="subscript"/>
        <sz val="10"/>
        <color theme="1"/>
        <rFont val="Times New Roman"/>
        <family val="1"/>
      </rPr>
      <t>2,min</t>
    </r>
  </si>
  <si>
    <t>mm</t>
  </si>
  <si>
    <r>
      <t>h</t>
    </r>
    <r>
      <rPr>
        <i/>
        <vertAlign val="subscript"/>
        <sz val="10"/>
        <color theme="1"/>
        <rFont val="Times New Roman"/>
        <family val="1"/>
      </rPr>
      <t>1</t>
    </r>
  </si>
  <si>
    <r>
      <t>h</t>
    </r>
    <r>
      <rPr>
        <i/>
        <vertAlign val="subscript"/>
        <sz val="10"/>
        <color theme="1"/>
        <rFont val="Times New Roman"/>
        <family val="1"/>
      </rPr>
      <t>2</t>
    </r>
  </si>
  <si>
    <r>
      <t>b</t>
    </r>
    <r>
      <rPr>
        <i/>
        <vertAlign val="subscript"/>
        <sz val="10"/>
        <color theme="1"/>
        <rFont val="Times New Roman"/>
        <family val="1"/>
      </rPr>
      <t>1</t>
    </r>
  </si>
  <si>
    <r>
      <t>b</t>
    </r>
    <r>
      <rPr>
        <i/>
        <vertAlign val="subscript"/>
        <sz val="10"/>
        <color theme="1"/>
        <rFont val="Times New Roman"/>
        <family val="1"/>
      </rPr>
      <t>2</t>
    </r>
  </si>
  <si>
    <r>
      <t>f</t>
    </r>
    <r>
      <rPr>
        <i/>
        <vertAlign val="subscript"/>
        <sz val="10"/>
        <color theme="1"/>
        <rFont val="Times New Roman"/>
        <family val="1"/>
      </rPr>
      <t>v,rs,k</t>
    </r>
  </si>
  <si>
    <r>
      <t>N/mm</t>
    </r>
    <r>
      <rPr>
        <vertAlign val="superscript"/>
        <sz val="10"/>
        <color theme="1"/>
        <rFont val="Calibri"/>
        <family val="2"/>
        <scheme val="minor"/>
      </rPr>
      <t>2</t>
    </r>
  </si>
  <si>
    <t>ℓ</t>
  </si>
  <si>
    <t>SHARP METAL + TBS MAX@a ≤ 100mm</t>
  </si>
  <si>
    <t>ℓ/4</t>
  </si>
  <si>
    <t>ℓ/2</t>
  </si>
  <si>
    <t>d</t>
  </si>
  <si>
    <r>
      <t>e</t>
    </r>
    <r>
      <rPr>
        <vertAlign val="subscript"/>
        <sz val="10"/>
        <color theme="1"/>
        <rFont val="Calibri"/>
        <family val="2"/>
        <scheme val="minor"/>
      </rPr>
      <t>min</t>
    </r>
  </si>
  <si>
    <r>
      <t>a</t>
    </r>
    <r>
      <rPr>
        <vertAlign val="subscript"/>
        <sz val="10"/>
        <color theme="1"/>
        <rFont val="Calibri"/>
        <family val="2"/>
        <scheme val="minor"/>
      </rPr>
      <t>4,c,min</t>
    </r>
  </si>
  <si>
    <t>5 ⋅ d</t>
  </si>
  <si>
    <t>NTC2018</t>
  </si>
  <si>
    <t>SHARP METAL (alone) + TBS MAX@a = 250mm</t>
  </si>
  <si>
    <t>SHARP METAL + TBS MAX@100mm &lt; a ≤ 175mm</t>
  </si>
  <si>
    <t>g + q</t>
  </si>
  <si>
    <t>g</t>
  </si>
  <si>
    <t>ℓ /</t>
  </si>
  <si>
    <r>
      <t>u</t>
    </r>
    <r>
      <rPr>
        <i/>
        <vertAlign val="subscript"/>
        <sz val="10"/>
        <color theme="1"/>
        <rFont val="Times New Roman"/>
        <family val="1"/>
      </rPr>
      <t>q,inst</t>
    </r>
  </si>
  <si>
    <r>
      <t>u</t>
    </r>
    <r>
      <rPr>
        <i/>
        <vertAlign val="subscript"/>
        <sz val="10"/>
        <color theme="1"/>
        <rFont val="Times New Roman"/>
        <family val="1"/>
      </rPr>
      <t>lim</t>
    </r>
  </si>
  <si>
    <r>
      <t>EJ</t>
    </r>
    <r>
      <rPr>
        <vertAlign val="subscript"/>
        <sz val="11"/>
        <color theme="1"/>
        <rFont val="Calibri"/>
        <family val="2"/>
      </rPr>
      <t>b</t>
    </r>
  </si>
  <si>
    <r>
      <t>Nmm</t>
    </r>
    <r>
      <rPr>
        <vertAlign val="superscript"/>
        <sz val="11"/>
        <color theme="1"/>
        <rFont val="Calibri"/>
        <family val="2"/>
        <scheme val="minor"/>
      </rPr>
      <t>2</t>
    </r>
    <r>
      <rPr>
        <sz val="11"/>
        <color theme="1"/>
        <rFont val="Calibri"/>
        <family val="2"/>
      </rPr>
      <t>/m</t>
    </r>
  </si>
  <si>
    <r>
      <t>f</t>
    </r>
    <r>
      <rPr>
        <vertAlign val="subscript"/>
        <sz val="11"/>
        <color theme="1"/>
        <rFont val="Calibri"/>
        <family val="2"/>
      </rPr>
      <t>1</t>
    </r>
  </si>
  <si>
    <t>Hz</t>
  </si>
  <si>
    <t>ξ</t>
  </si>
  <si>
    <t>b</t>
  </si>
  <si>
    <t>m</t>
  </si>
  <si>
    <t>w</t>
  </si>
  <si>
    <r>
      <t>w</t>
    </r>
    <r>
      <rPr>
        <i/>
        <vertAlign val="subscript"/>
        <sz val="12"/>
        <color theme="1"/>
        <rFont val="Times New Roman"/>
        <family val="1"/>
      </rPr>
      <t>lim</t>
    </r>
  </si>
  <si>
    <t>v</t>
  </si>
  <si>
    <t>mm/s</t>
  </si>
  <si>
    <r>
      <t>v</t>
    </r>
    <r>
      <rPr>
        <i/>
        <vertAlign val="subscript"/>
        <sz val="12"/>
        <color theme="1"/>
        <rFont val="Times New Roman"/>
        <family val="1"/>
      </rPr>
      <t>lim</t>
    </r>
  </si>
  <si>
    <t>V1.2</t>
  </si>
  <si>
    <r>
      <t>J</t>
    </r>
    <r>
      <rPr>
        <i/>
        <vertAlign val="subscript"/>
        <sz val="10"/>
        <color theme="1"/>
        <rFont val="Times New Roman"/>
        <family val="1"/>
      </rPr>
      <t>eff</t>
    </r>
    <r>
      <rPr>
        <i/>
        <sz val="10"/>
        <color theme="1"/>
        <rFont val="Times New Roman"/>
        <family val="1"/>
      </rPr>
      <t>,s</t>
    </r>
  </si>
  <si>
    <r>
      <t>mm</t>
    </r>
    <r>
      <rPr>
        <vertAlign val="superscript"/>
        <sz val="10"/>
        <color theme="1"/>
        <rFont val="Verdana"/>
        <family val="2"/>
      </rPr>
      <t>4</t>
    </r>
  </si>
  <si>
    <r>
      <t>J</t>
    </r>
    <r>
      <rPr>
        <i/>
        <vertAlign val="subscript"/>
        <sz val="10"/>
        <color theme="1"/>
        <rFont val="Times New Roman"/>
        <family val="1"/>
      </rPr>
      <t>eff</t>
    </r>
    <r>
      <rPr>
        <i/>
        <sz val="10"/>
        <color theme="1"/>
        <rFont val="Times New Roman"/>
        <family val="1"/>
      </rPr>
      <t>,ms</t>
    </r>
  </si>
  <si>
    <r>
      <t>A</t>
    </r>
    <r>
      <rPr>
        <i/>
        <vertAlign val="subscript"/>
        <sz val="10"/>
        <color theme="1"/>
        <rFont val="Times New Roman"/>
        <family val="1"/>
      </rPr>
      <t>eff</t>
    </r>
    <r>
      <rPr>
        <i/>
        <sz val="10"/>
        <color theme="1"/>
        <rFont val="Times New Roman"/>
        <family val="1"/>
      </rPr>
      <t>,s</t>
    </r>
  </si>
  <si>
    <r>
      <t>mm</t>
    </r>
    <r>
      <rPr>
        <vertAlign val="superscript"/>
        <sz val="10"/>
        <color theme="1"/>
        <rFont val="Verdana"/>
        <family val="2"/>
      </rPr>
      <t>2</t>
    </r>
  </si>
  <si>
    <r>
      <t>A</t>
    </r>
    <r>
      <rPr>
        <i/>
        <vertAlign val="subscript"/>
        <sz val="10"/>
        <color theme="1"/>
        <rFont val="Times New Roman"/>
        <family val="1"/>
      </rPr>
      <t>eff</t>
    </r>
    <r>
      <rPr>
        <i/>
        <sz val="10"/>
        <color theme="1"/>
        <rFont val="Times New Roman"/>
        <family val="1"/>
      </rPr>
      <t>,ms</t>
    </r>
  </si>
  <si>
    <t>i</t>
  </si>
  <si>
    <r>
      <t>g</t>
    </r>
    <r>
      <rPr>
        <i/>
        <vertAlign val="subscript"/>
        <sz val="10"/>
        <color theme="1"/>
        <rFont val="Times New Roman"/>
        <family val="1"/>
      </rPr>
      <t>k</t>
    </r>
    <r>
      <rPr>
        <i/>
        <sz val="10"/>
        <color theme="1"/>
        <rFont val="Times New Roman"/>
        <family val="1"/>
      </rPr>
      <t xml:space="preserve"> = g</t>
    </r>
    <r>
      <rPr>
        <i/>
        <vertAlign val="subscript"/>
        <sz val="10"/>
        <color theme="1"/>
        <rFont val="Times New Roman"/>
        <family val="1"/>
      </rPr>
      <t>1,k</t>
    </r>
    <r>
      <rPr>
        <i/>
        <sz val="10"/>
        <color theme="1"/>
        <rFont val="Times New Roman"/>
        <family val="1"/>
      </rPr>
      <t xml:space="preserve"> + g</t>
    </r>
    <r>
      <rPr>
        <i/>
        <vertAlign val="subscript"/>
        <sz val="10"/>
        <color theme="1"/>
        <rFont val="Times New Roman"/>
        <family val="1"/>
      </rPr>
      <t>2,k</t>
    </r>
  </si>
  <si>
    <r>
      <t>k</t>
    </r>
    <r>
      <rPr>
        <i/>
        <vertAlign val="subscript"/>
        <sz val="11"/>
        <rFont val="Times New Roman"/>
        <family val="1"/>
      </rPr>
      <t>mod,g+q</t>
    </r>
  </si>
  <si>
    <r>
      <t>k</t>
    </r>
    <r>
      <rPr>
        <i/>
        <vertAlign val="subscript"/>
        <sz val="11"/>
        <rFont val="Times New Roman"/>
        <family val="1"/>
      </rPr>
      <t>mod,g</t>
    </r>
  </si>
  <si>
    <r>
      <t>k</t>
    </r>
    <r>
      <rPr>
        <i/>
        <vertAlign val="subscript"/>
        <sz val="11"/>
        <color theme="1"/>
        <rFont val="Times New Roman"/>
        <family val="1"/>
      </rPr>
      <t>crack</t>
    </r>
  </si>
  <si>
    <r>
      <t>g</t>
    </r>
    <r>
      <rPr>
        <i/>
        <vertAlign val="subscript"/>
        <sz val="10"/>
        <color theme="1"/>
        <rFont val="Times New Roman"/>
        <family val="1"/>
      </rPr>
      <t xml:space="preserve"> </t>
    </r>
    <r>
      <rPr>
        <i/>
        <sz val="10"/>
        <color theme="1"/>
        <rFont val="Times New Roman"/>
        <family val="1"/>
      </rPr>
      <t>+ q</t>
    </r>
  </si>
  <si>
    <r>
      <t>f</t>
    </r>
    <r>
      <rPr>
        <i/>
        <vertAlign val="subscript"/>
        <sz val="12"/>
        <rFont val="Times New Roman"/>
        <family val="1"/>
      </rPr>
      <t>m,k</t>
    </r>
  </si>
  <si>
    <t>MPa</t>
  </si>
  <si>
    <r>
      <t>f</t>
    </r>
    <r>
      <rPr>
        <i/>
        <vertAlign val="subscript"/>
        <sz val="12"/>
        <rFont val="Times New Roman"/>
        <family val="1"/>
      </rPr>
      <t>m,d</t>
    </r>
  </si>
  <si>
    <r>
      <t>f</t>
    </r>
    <r>
      <rPr>
        <i/>
        <vertAlign val="subscript"/>
        <sz val="12"/>
        <rFont val="Times New Roman"/>
        <family val="1"/>
      </rPr>
      <t>t,0,k</t>
    </r>
  </si>
  <si>
    <r>
      <t>f</t>
    </r>
    <r>
      <rPr>
        <i/>
        <vertAlign val="subscript"/>
        <sz val="12"/>
        <rFont val="Times New Roman"/>
        <family val="1"/>
      </rPr>
      <t>t,0,d</t>
    </r>
  </si>
  <si>
    <r>
      <t>f</t>
    </r>
    <r>
      <rPr>
        <i/>
        <vertAlign val="subscript"/>
        <sz val="12"/>
        <rFont val="Times New Roman"/>
        <family val="1"/>
      </rPr>
      <t>t,90,k</t>
    </r>
  </si>
  <si>
    <r>
      <t>f</t>
    </r>
    <r>
      <rPr>
        <i/>
        <vertAlign val="subscript"/>
        <sz val="12"/>
        <rFont val="Times New Roman"/>
        <family val="1"/>
      </rPr>
      <t>t,90,d</t>
    </r>
  </si>
  <si>
    <r>
      <t>f</t>
    </r>
    <r>
      <rPr>
        <i/>
        <vertAlign val="subscript"/>
        <sz val="12"/>
        <rFont val="Times New Roman"/>
        <family val="1"/>
      </rPr>
      <t>c,0,k</t>
    </r>
  </si>
  <si>
    <r>
      <t>f</t>
    </r>
    <r>
      <rPr>
        <i/>
        <vertAlign val="subscript"/>
        <sz val="12"/>
        <rFont val="Times New Roman"/>
        <family val="1"/>
      </rPr>
      <t>c,0,d</t>
    </r>
  </si>
  <si>
    <r>
      <t>f</t>
    </r>
    <r>
      <rPr>
        <i/>
        <vertAlign val="subscript"/>
        <sz val="12"/>
        <rFont val="Times New Roman"/>
        <family val="1"/>
      </rPr>
      <t>c,90,k</t>
    </r>
  </si>
  <si>
    <r>
      <t>f</t>
    </r>
    <r>
      <rPr>
        <i/>
        <vertAlign val="subscript"/>
        <sz val="12"/>
        <rFont val="Times New Roman"/>
        <family val="1"/>
      </rPr>
      <t>c,90,d</t>
    </r>
  </si>
  <si>
    <r>
      <t>f</t>
    </r>
    <r>
      <rPr>
        <i/>
        <vertAlign val="subscript"/>
        <sz val="12"/>
        <rFont val="Times New Roman"/>
        <family val="1"/>
      </rPr>
      <t>v,k</t>
    </r>
  </si>
  <si>
    <r>
      <t>f</t>
    </r>
    <r>
      <rPr>
        <i/>
        <vertAlign val="subscript"/>
        <sz val="12"/>
        <rFont val="Times New Roman"/>
        <family val="1"/>
      </rPr>
      <t>v,d</t>
    </r>
  </si>
  <si>
    <r>
      <t>f</t>
    </r>
    <r>
      <rPr>
        <vertAlign val="subscript"/>
        <sz val="11"/>
        <color theme="1"/>
        <rFont val="Times New Roman"/>
        <family val="1"/>
      </rPr>
      <t>rs,k</t>
    </r>
  </si>
  <si>
    <r>
      <t>f</t>
    </r>
    <r>
      <rPr>
        <vertAlign val="subscript"/>
        <sz val="11"/>
        <color theme="1"/>
        <rFont val="Times New Roman"/>
        <family val="1"/>
      </rPr>
      <t>rs,d</t>
    </r>
  </si>
  <si>
    <r>
      <t>E</t>
    </r>
    <r>
      <rPr>
        <i/>
        <vertAlign val="subscript"/>
        <sz val="12"/>
        <rFont val="Times New Roman"/>
        <family val="1"/>
      </rPr>
      <t>0,mean</t>
    </r>
  </si>
  <si>
    <r>
      <t>E</t>
    </r>
    <r>
      <rPr>
        <i/>
        <vertAlign val="subscript"/>
        <sz val="12"/>
        <rFont val="Times New Roman"/>
        <family val="1"/>
      </rPr>
      <t>0,05</t>
    </r>
  </si>
  <si>
    <r>
      <t>G</t>
    </r>
    <r>
      <rPr>
        <i/>
        <vertAlign val="subscript"/>
        <sz val="12"/>
        <rFont val="Times New Roman"/>
        <family val="1"/>
      </rPr>
      <t>mean</t>
    </r>
  </si>
  <si>
    <r>
      <t>G</t>
    </r>
    <r>
      <rPr>
        <i/>
        <vertAlign val="subscript"/>
        <sz val="12"/>
        <rFont val="Times New Roman"/>
        <family val="1"/>
      </rPr>
      <t>05</t>
    </r>
  </si>
  <si>
    <r>
      <rPr>
        <i/>
        <sz val="12"/>
        <rFont val="Times New Roman"/>
        <family val="1"/>
      </rPr>
      <t>ρ</t>
    </r>
    <r>
      <rPr>
        <i/>
        <vertAlign val="subscript"/>
        <sz val="12"/>
        <rFont val="Times New Roman"/>
        <family val="1"/>
      </rPr>
      <t>k</t>
    </r>
  </si>
  <si>
    <r>
      <t>kg/m</t>
    </r>
    <r>
      <rPr>
        <vertAlign val="superscript"/>
        <sz val="10"/>
        <color theme="1"/>
        <rFont val="Verdana"/>
        <family val="2"/>
      </rPr>
      <t>3</t>
    </r>
  </si>
  <si>
    <r>
      <t>f</t>
    </r>
    <r>
      <rPr>
        <i/>
        <vertAlign val="subscript"/>
        <sz val="12"/>
        <rFont val="Verdana"/>
        <family val="2"/>
      </rPr>
      <t>m,k</t>
    </r>
  </si>
  <si>
    <r>
      <t>f</t>
    </r>
    <r>
      <rPr>
        <i/>
        <vertAlign val="subscript"/>
        <sz val="12"/>
        <rFont val="Verdana"/>
        <family val="2"/>
      </rPr>
      <t>t,0,k</t>
    </r>
  </si>
  <si>
    <r>
      <t>f</t>
    </r>
    <r>
      <rPr>
        <i/>
        <vertAlign val="subscript"/>
        <sz val="12"/>
        <rFont val="Verdana"/>
        <family val="2"/>
      </rPr>
      <t>t,90,k</t>
    </r>
  </si>
  <si>
    <r>
      <t>f</t>
    </r>
    <r>
      <rPr>
        <i/>
        <vertAlign val="subscript"/>
        <sz val="12"/>
        <rFont val="Verdana"/>
        <family val="2"/>
      </rPr>
      <t>c,0,k</t>
    </r>
  </si>
  <si>
    <r>
      <t>f</t>
    </r>
    <r>
      <rPr>
        <i/>
        <vertAlign val="subscript"/>
        <sz val="12"/>
        <rFont val="Verdana"/>
        <family val="2"/>
      </rPr>
      <t>c,90,k</t>
    </r>
  </si>
  <si>
    <r>
      <t>f</t>
    </r>
    <r>
      <rPr>
        <i/>
        <vertAlign val="subscript"/>
        <sz val="12"/>
        <rFont val="Verdana"/>
        <family val="2"/>
      </rPr>
      <t>v,k</t>
    </r>
  </si>
  <si>
    <r>
      <t>e</t>
    </r>
    <r>
      <rPr>
        <vertAlign val="subscript"/>
        <sz val="10"/>
        <color theme="1"/>
        <rFont val="Verdana"/>
        <family val="2"/>
      </rPr>
      <t>min</t>
    </r>
  </si>
  <si>
    <r>
      <t>a</t>
    </r>
    <r>
      <rPr>
        <vertAlign val="subscript"/>
        <sz val="10"/>
        <color theme="1"/>
        <rFont val="Verdana"/>
        <family val="2"/>
      </rPr>
      <t>4,c,min</t>
    </r>
  </si>
  <si>
    <r>
      <t>K</t>
    </r>
    <r>
      <rPr>
        <i/>
        <vertAlign val="subscript"/>
        <sz val="10"/>
        <rFont val="Times New Roman"/>
        <family val="1"/>
      </rPr>
      <t>ser</t>
    </r>
  </si>
  <si>
    <t>N/mm</t>
  </si>
  <si>
    <r>
      <t>K</t>
    </r>
    <r>
      <rPr>
        <i/>
        <vertAlign val="subscript"/>
        <sz val="10"/>
        <rFont val="Times New Roman"/>
        <family val="1"/>
      </rPr>
      <t>u</t>
    </r>
  </si>
  <si>
    <r>
      <t>s</t>
    </r>
    <r>
      <rPr>
        <i/>
        <vertAlign val="subscript"/>
        <sz val="12"/>
        <rFont val="Verdana"/>
        <family val="2"/>
      </rPr>
      <t>eq</t>
    </r>
  </si>
  <si>
    <t>=</t>
  </si>
  <si>
    <r>
      <t>R</t>
    </r>
    <r>
      <rPr>
        <i/>
        <vertAlign val="subscript"/>
        <sz val="10"/>
        <color theme="1"/>
        <rFont val="Times New Roman"/>
        <family val="1"/>
      </rPr>
      <t>d,g</t>
    </r>
  </si>
  <si>
    <t>N</t>
  </si>
  <si>
    <r>
      <t>R</t>
    </r>
    <r>
      <rPr>
        <i/>
        <vertAlign val="subscript"/>
        <sz val="10"/>
        <color theme="1"/>
        <rFont val="Times New Roman"/>
        <family val="1"/>
      </rPr>
      <t>d,g+q</t>
    </r>
  </si>
  <si>
    <r>
      <t>k</t>
    </r>
    <r>
      <rPr>
        <i/>
        <vertAlign val="subscript"/>
        <sz val="12"/>
        <rFont val="Verdana"/>
        <family val="2"/>
      </rPr>
      <t>def</t>
    </r>
  </si>
  <si>
    <t>Connections</t>
  </si>
  <si>
    <r>
      <t>γ</t>
    </r>
    <r>
      <rPr>
        <i/>
        <vertAlign val="subscript"/>
        <sz val="12"/>
        <rFont val="Verdana"/>
        <family val="2"/>
      </rPr>
      <t>m,SLU,con</t>
    </r>
  </si>
  <si>
    <r>
      <t>k</t>
    </r>
    <r>
      <rPr>
        <i/>
        <vertAlign val="subscript"/>
        <sz val="12"/>
        <rFont val="Verdana"/>
        <family val="2"/>
      </rPr>
      <t>h,el 1</t>
    </r>
  </si>
  <si>
    <r>
      <t>γ</t>
    </r>
    <r>
      <rPr>
        <i/>
        <vertAlign val="subscript"/>
        <sz val="12"/>
        <rFont val="Verdana"/>
        <family val="2"/>
      </rPr>
      <t>m,SLU,1</t>
    </r>
  </si>
  <si>
    <r>
      <t>k</t>
    </r>
    <r>
      <rPr>
        <i/>
        <vertAlign val="subscript"/>
        <sz val="12"/>
        <rFont val="Verdana"/>
        <family val="2"/>
      </rPr>
      <t>h,el 2</t>
    </r>
  </si>
  <si>
    <r>
      <t>γ</t>
    </r>
    <r>
      <rPr>
        <i/>
        <vertAlign val="subscript"/>
        <sz val="12"/>
        <rFont val="Verdana"/>
        <family val="2"/>
      </rPr>
      <t>m,SLU,2</t>
    </r>
    <r>
      <rPr>
        <sz val="10"/>
        <color theme="1"/>
        <rFont val="Verdana"/>
        <family val="2"/>
      </rPr>
      <t/>
    </r>
  </si>
  <si>
    <t>kN/m</t>
  </si>
  <si>
    <t>kNm</t>
  </si>
  <si>
    <t>kN</t>
  </si>
  <si>
    <r>
      <t>E</t>
    </r>
    <r>
      <rPr>
        <i/>
        <vertAlign val="subscript"/>
        <sz val="10"/>
        <color theme="1"/>
        <rFont val="Times New Roman"/>
        <family val="1"/>
      </rPr>
      <t>0,mean</t>
    </r>
    <r>
      <rPr>
        <i/>
        <sz val="10"/>
        <color theme="1"/>
        <rFont val="Times New Roman"/>
        <family val="1"/>
      </rPr>
      <t>J</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1</t>
    </r>
    <r>
      <rPr>
        <i/>
        <sz val="10"/>
        <color theme="1"/>
        <rFont val="Times New Roman"/>
        <family val="1"/>
      </rPr>
      <t>J</t>
    </r>
    <r>
      <rPr>
        <i/>
        <vertAlign val="subscript"/>
        <sz val="10"/>
        <color theme="1"/>
        <rFont val="Times New Roman"/>
        <family val="1"/>
      </rPr>
      <t>1</t>
    </r>
  </si>
  <si>
    <r>
      <t>Nmm</t>
    </r>
    <r>
      <rPr>
        <vertAlign val="superscript"/>
        <sz val="10"/>
        <rFont val="Verdana"/>
        <family val="2"/>
      </rPr>
      <t>2</t>
    </r>
  </si>
  <si>
    <r>
      <t>E</t>
    </r>
    <r>
      <rPr>
        <i/>
        <vertAlign val="subscript"/>
        <sz val="10"/>
        <color theme="1"/>
        <rFont val="Times New Roman"/>
        <family val="1"/>
      </rPr>
      <t>0,mean</t>
    </r>
    <r>
      <rPr>
        <i/>
        <sz val="10"/>
        <color theme="1"/>
        <rFont val="Times New Roman"/>
        <family val="1"/>
      </rPr>
      <t>A</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1</t>
    </r>
    <r>
      <rPr>
        <i/>
        <sz val="10"/>
        <color theme="1"/>
        <rFont val="Times New Roman"/>
        <family val="1"/>
      </rPr>
      <t>A</t>
    </r>
    <r>
      <rPr>
        <i/>
        <vertAlign val="subscript"/>
        <sz val="10"/>
        <color theme="1"/>
        <rFont val="Times New Roman"/>
        <family val="1"/>
      </rPr>
      <t>1</t>
    </r>
  </si>
  <si>
    <r>
      <t>E</t>
    </r>
    <r>
      <rPr>
        <i/>
        <vertAlign val="subscript"/>
        <sz val="10"/>
        <color theme="1"/>
        <rFont val="Times New Roman"/>
        <family val="1"/>
      </rPr>
      <t>0,mean</t>
    </r>
    <r>
      <rPr>
        <i/>
        <sz val="10"/>
        <color theme="1"/>
        <rFont val="Times New Roman"/>
        <family val="1"/>
      </rPr>
      <t>J</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2</t>
    </r>
    <r>
      <rPr>
        <i/>
        <sz val="10"/>
        <color theme="1"/>
        <rFont val="Times New Roman"/>
        <family val="1"/>
      </rPr>
      <t>J</t>
    </r>
    <r>
      <rPr>
        <i/>
        <vertAlign val="subscript"/>
        <sz val="10"/>
        <color theme="1"/>
        <rFont val="Times New Roman"/>
        <family val="1"/>
      </rPr>
      <t>2</t>
    </r>
  </si>
  <si>
    <r>
      <t>E</t>
    </r>
    <r>
      <rPr>
        <i/>
        <vertAlign val="subscript"/>
        <sz val="10"/>
        <color theme="1"/>
        <rFont val="Times New Roman"/>
        <family val="1"/>
      </rPr>
      <t>0,mean</t>
    </r>
    <r>
      <rPr>
        <i/>
        <sz val="10"/>
        <color theme="1"/>
        <rFont val="Times New Roman"/>
        <family val="1"/>
      </rPr>
      <t>A</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2</t>
    </r>
    <r>
      <rPr>
        <i/>
        <sz val="10"/>
        <color theme="1"/>
        <rFont val="Times New Roman"/>
        <family val="1"/>
      </rPr>
      <t>A</t>
    </r>
    <r>
      <rPr>
        <i/>
        <vertAlign val="subscript"/>
        <sz val="10"/>
        <color theme="1"/>
        <rFont val="Times New Roman"/>
        <family val="1"/>
      </rPr>
      <t>2</t>
    </r>
  </si>
  <si>
    <r>
      <t>a</t>
    </r>
    <r>
      <rPr>
        <i/>
        <vertAlign val="subscript"/>
        <sz val="10"/>
        <color theme="1"/>
        <rFont val="Times New Roman"/>
        <family val="1"/>
      </rPr>
      <t>1</t>
    </r>
    <r>
      <rPr>
        <i/>
        <sz val="10"/>
        <color theme="1"/>
        <rFont val="Times New Roman"/>
        <family val="1"/>
      </rPr>
      <t xml:space="preserve"> = a - a</t>
    </r>
    <r>
      <rPr>
        <i/>
        <vertAlign val="subscript"/>
        <sz val="10"/>
        <color theme="1"/>
        <rFont val="Times New Roman"/>
        <family val="1"/>
      </rPr>
      <t>2</t>
    </r>
  </si>
  <si>
    <r>
      <t>ψ</t>
    </r>
    <r>
      <rPr>
        <vertAlign val="subscript"/>
        <sz val="10"/>
        <color theme="1"/>
        <rFont val="Times New Roman"/>
        <family val="1"/>
      </rPr>
      <t>2,i,t=</t>
    </r>
    <r>
      <rPr>
        <vertAlign val="subscript"/>
        <sz val="10"/>
        <color theme="1"/>
        <rFont val="Verdana"/>
        <family val="2"/>
      </rPr>
      <t>∞</t>
    </r>
  </si>
  <si>
    <r>
      <t>u</t>
    </r>
    <r>
      <rPr>
        <i/>
        <vertAlign val="subscript"/>
        <sz val="10"/>
        <rFont val="Times New Roman"/>
        <family val="1"/>
      </rPr>
      <t>inst</t>
    </r>
  </si>
  <si>
    <r>
      <t>u</t>
    </r>
    <r>
      <rPr>
        <i/>
        <vertAlign val="subscript"/>
        <sz val="10"/>
        <rFont val="Times New Roman"/>
        <family val="1"/>
      </rPr>
      <t>lim</t>
    </r>
  </si>
  <si>
    <r>
      <t>kg/m</t>
    </r>
    <r>
      <rPr>
        <vertAlign val="superscript"/>
        <sz val="10"/>
        <rFont val="Verdana"/>
        <family val="2"/>
      </rPr>
      <t>2</t>
    </r>
  </si>
  <si>
    <r>
      <t>EJ</t>
    </r>
    <r>
      <rPr>
        <i/>
        <vertAlign val="subscript"/>
        <sz val="10"/>
        <rFont val="Times New Roman"/>
        <family val="1"/>
      </rPr>
      <t>b</t>
    </r>
  </si>
  <si>
    <r>
      <t>Nmm</t>
    </r>
    <r>
      <rPr>
        <vertAlign val="superscript"/>
        <sz val="10"/>
        <rFont val="Verdana"/>
        <family val="2"/>
      </rPr>
      <t>2</t>
    </r>
    <r>
      <rPr>
        <sz val="10"/>
        <rFont val="Verdana"/>
        <family val="2"/>
      </rPr>
      <t>/m</t>
    </r>
  </si>
  <si>
    <r>
      <t>EJ</t>
    </r>
    <r>
      <rPr>
        <i/>
        <vertAlign val="subscript"/>
        <sz val="12"/>
        <rFont val="Verdana"/>
        <family val="2"/>
      </rPr>
      <t>l</t>
    </r>
  </si>
  <si>
    <r>
      <t>b</t>
    </r>
    <r>
      <rPr>
        <i/>
        <vertAlign val="subscript"/>
        <sz val="10"/>
        <rFont val="Times New Roman"/>
        <family val="1"/>
      </rPr>
      <t>m</t>
    </r>
  </si>
  <si>
    <r>
      <t>f</t>
    </r>
    <r>
      <rPr>
        <i/>
        <vertAlign val="subscript"/>
        <sz val="10"/>
        <rFont val="Times New Roman"/>
        <family val="1"/>
      </rPr>
      <t>1</t>
    </r>
  </si>
  <si>
    <r>
      <t>w</t>
    </r>
    <r>
      <rPr>
        <i/>
        <vertAlign val="subscript"/>
        <sz val="10"/>
        <rFont val="Times New Roman"/>
        <family val="1"/>
      </rPr>
      <t>lim</t>
    </r>
  </si>
  <si>
    <r>
      <rPr>
        <i/>
        <sz val="12"/>
        <rFont val="Times New Roman"/>
        <family val="1"/>
      </rPr>
      <t>n</t>
    </r>
    <r>
      <rPr>
        <i/>
        <vertAlign val="subscript"/>
        <sz val="12"/>
        <rFont val="Times New Roman"/>
        <family val="1"/>
      </rPr>
      <t>40</t>
    </r>
  </si>
  <si>
    <t>m/s</t>
  </si>
  <si>
    <r>
      <t>v</t>
    </r>
    <r>
      <rPr>
        <i/>
        <vertAlign val="subscript"/>
        <sz val="12"/>
        <rFont val="Verdana"/>
        <family val="2"/>
      </rPr>
      <t>lim</t>
    </r>
  </si>
  <si>
    <t>a</t>
  </si>
  <si>
    <r>
      <t>m/s</t>
    </r>
    <r>
      <rPr>
        <vertAlign val="superscript"/>
        <sz val="10"/>
        <rFont val="Verdana"/>
        <family val="2"/>
      </rPr>
      <t>2</t>
    </r>
  </si>
  <si>
    <t>Le informazioni tecniche e commerciali e i dati personali contenuti in questo messaggio sono strettamente riservati ed indirizzati esclusivamente al destinatario della comunicazione o alla persona responsabile di rimetterla al destinatario. Qualsiasi uso diverso da quello previsto e/o comunicato, riproduzione o divulgazione degli stessi è pertanto vietata. Se avete ricevuto il messaggio per errore, siete pregati di distruggerlo ed avvertire il mittente. Le informazioni fornite sono da intendersi come supporto tecnico generale. L’uso previsto dei prodotti, i valori di resistenza meccanica e la geometrica sono indicati nelle certificazioni di prodotto e/o nella documentazione tecnica ufficiale. Ogni applicazione e calcolo devono essere esaminate e approvate da professionisti qualificati. La responsabilità della scelta del prodotto per la specifica applicazione, così come della sua eventuale posa in opera, resta in capo al Cliente. La versione aggiornata della documentazione tecnica è disponibile online. Si raccomanda di consultare le schede tecniche prima dell’utilizzo per ottenere informazioni dettagliate sulla progettazione e l’installazione. Rotho Blaas non risponde per eventuali errori di stampa relativi a dati tecnici, disegni, riferimenti a pesi e misure o traduzioni presenti nei cataloghi.</t>
  </si>
  <si>
    <t>[1]</t>
  </si>
  <si>
    <t>[2]</t>
  </si>
  <si>
    <t>ETA-24/0058 – SHARP METAL, Rotho Blaas Srl, European Technical Assessment, OIB, 30/06/2025.</t>
  </si>
  <si>
    <t>DO NOT TOUCH THESE. Change in DATA or in CLT PANEL</t>
  </si>
  <si>
    <t>b(mm)</t>
  </si>
  <si>
    <r>
      <t>E</t>
    </r>
    <r>
      <rPr>
        <vertAlign val="subscript"/>
        <sz val="12"/>
        <color theme="0" tint="-0.499984740745262"/>
        <rFont val="Calibri"/>
        <family val="2"/>
        <scheme val="minor"/>
      </rPr>
      <t>0,mean</t>
    </r>
  </si>
  <si>
    <r>
      <t>E</t>
    </r>
    <r>
      <rPr>
        <vertAlign val="subscript"/>
        <sz val="12"/>
        <color theme="0" tint="-0.499984740745262"/>
        <rFont val="Calibri"/>
        <family val="2"/>
        <scheme val="minor"/>
      </rPr>
      <t>90,mean</t>
    </r>
  </si>
  <si>
    <r>
      <t>G</t>
    </r>
    <r>
      <rPr>
        <vertAlign val="subscript"/>
        <sz val="12"/>
        <color theme="0" tint="-0.499984740745262"/>
        <rFont val="Calibri"/>
        <family val="2"/>
        <scheme val="minor"/>
      </rPr>
      <t>mean</t>
    </r>
  </si>
  <si>
    <r>
      <t>G</t>
    </r>
    <r>
      <rPr>
        <vertAlign val="subscript"/>
        <sz val="12"/>
        <color theme="0" tint="-0.499984740745262"/>
        <rFont val="Calibri"/>
        <family val="2"/>
        <scheme val="minor"/>
      </rPr>
      <t>r,mean</t>
    </r>
  </si>
  <si>
    <t>bef,ij(mm)</t>
  </si>
  <si>
    <t>[mm]</t>
  </si>
  <si>
    <t>bef</t>
  </si>
  <si>
    <t>scelto in INPUT</t>
  </si>
  <si>
    <t>NUOVO EUROCODICE5 O STORANESO</t>
  </si>
  <si>
    <t>Berechnung von Brettsperrholzelementen</t>
  </si>
  <si>
    <t>Se non c'è lamella, indicare d=0</t>
  </si>
  <si>
    <t>INERZIA</t>
  </si>
  <si>
    <t>Biegesteifigkeiten</t>
  </si>
  <si>
    <r>
      <t>Drillsteifigkeit</t>
    </r>
    <r>
      <rPr>
        <b/>
        <vertAlign val="superscript"/>
        <sz val="11"/>
        <color theme="1"/>
        <rFont val="Calibri"/>
        <family val="2"/>
        <scheme val="minor"/>
      </rPr>
      <t>1)</t>
    </r>
  </si>
  <si>
    <t xml:space="preserve">Plattenschubsteifigkeit </t>
  </si>
  <si>
    <t>Dehnsteifigkeiten</t>
  </si>
  <si>
    <t xml:space="preserve">Scheibenschubsteifigkeit </t>
  </si>
  <si>
    <t>area</t>
  </si>
  <si>
    <t>INERZIA CON BASE EFFICACE</t>
  </si>
  <si>
    <t>area CON BASE EFFICACE</t>
  </si>
  <si>
    <t>Lagen</t>
  </si>
  <si>
    <r>
      <t>d</t>
    </r>
    <r>
      <rPr>
        <b/>
        <vertAlign val="subscript"/>
        <sz val="11"/>
        <color theme="1"/>
        <rFont val="Calibri"/>
        <family val="2"/>
        <scheme val="minor"/>
      </rPr>
      <t>i</t>
    </r>
  </si>
  <si>
    <r>
      <t>a</t>
    </r>
    <r>
      <rPr>
        <b/>
        <vertAlign val="subscript"/>
        <sz val="11"/>
        <color theme="1"/>
        <rFont val="Calibri"/>
        <family val="2"/>
        <scheme val="minor"/>
      </rPr>
      <t>i</t>
    </r>
  </si>
  <si>
    <r>
      <t>E</t>
    </r>
    <r>
      <rPr>
        <b/>
        <vertAlign val="subscript"/>
        <sz val="11"/>
        <color rgb="FFFF0000"/>
        <rFont val="Calibri"/>
        <family val="2"/>
        <scheme val="minor"/>
      </rPr>
      <t>xx,i</t>
    </r>
  </si>
  <si>
    <r>
      <t>E</t>
    </r>
    <r>
      <rPr>
        <b/>
        <vertAlign val="subscript"/>
        <sz val="11"/>
        <color rgb="FFFF0000"/>
        <rFont val="Calibri"/>
        <family val="2"/>
        <scheme val="minor"/>
      </rPr>
      <t>yy,i</t>
    </r>
  </si>
  <si>
    <r>
      <t>G</t>
    </r>
    <r>
      <rPr>
        <b/>
        <vertAlign val="subscript"/>
        <sz val="11"/>
        <color theme="1"/>
        <rFont val="Calibri"/>
        <family val="2"/>
        <scheme val="minor"/>
      </rPr>
      <t>xz,i</t>
    </r>
  </si>
  <si>
    <r>
      <t>G</t>
    </r>
    <r>
      <rPr>
        <b/>
        <vertAlign val="subscript"/>
        <sz val="11"/>
        <color theme="1"/>
        <rFont val="Calibri"/>
        <family val="2"/>
        <scheme val="minor"/>
      </rPr>
      <t>yz,i</t>
    </r>
  </si>
  <si>
    <r>
      <t>G</t>
    </r>
    <r>
      <rPr>
        <b/>
        <vertAlign val="subscript"/>
        <sz val="11"/>
        <color theme="1"/>
        <rFont val="Calibri"/>
        <family val="2"/>
        <scheme val="minor"/>
      </rPr>
      <t>xy,i</t>
    </r>
    <r>
      <rPr>
        <b/>
        <sz val="11"/>
        <color theme="1"/>
        <rFont val="Calibri"/>
        <family val="2"/>
        <scheme val="minor"/>
      </rPr>
      <t>=G</t>
    </r>
    <r>
      <rPr>
        <b/>
        <vertAlign val="subscript"/>
        <sz val="11"/>
        <color theme="1"/>
        <rFont val="Calibri"/>
        <family val="2"/>
        <scheme val="minor"/>
      </rPr>
      <t>yx,i</t>
    </r>
  </si>
  <si>
    <r>
      <t>z</t>
    </r>
    <r>
      <rPr>
        <b/>
        <vertAlign val="subscript"/>
        <sz val="11"/>
        <color theme="1"/>
        <rFont val="Calibri"/>
        <family val="2"/>
        <scheme val="minor"/>
      </rPr>
      <t>i</t>
    </r>
  </si>
  <si>
    <t>mm^4</t>
  </si>
  <si>
    <r>
      <t>[MNm²/m] ∙10</t>
    </r>
    <r>
      <rPr>
        <b/>
        <vertAlign val="superscript"/>
        <sz val="11"/>
        <color theme="1"/>
        <rFont val="Calibri"/>
        <family val="2"/>
        <scheme val="minor"/>
      </rPr>
      <t>-3</t>
    </r>
  </si>
  <si>
    <r>
      <t>[MN/m] ∙10</t>
    </r>
    <r>
      <rPr>
        <b/>
        <vertAlign val="superscript"/>
        <sz val="11"/>
        <color theme="1"/>
        <rFont val="Calibri"/>
        <family val="2"/>
        <scheme val="minor"/>
      </rPr>
      <t>-3</t>
    </r>
  </si>
  <si>
    <t>[MN/m]</t>
  </si>
  <si>
    <t>mm^2</t>
  </si>
  <si>
    <r>
      <t>[mm</t>
    </r>
    <r>
      <rPr>
        <b/>
        <vertAlign val="superscript"/>
        <sz val="11"/>
        <color theme="1"/>
        <rFont val="Calibri"/>
        <family val="2"/>
        <scheme val="minor"/>
      </rPr>
      <t>4</t>
    </r>
    <r>
      <rPr>
        <b/>
        <sz val="11"/>
        <color theme="1"/>
        <rFont val="Calibri"/>
        <family val="2"/>
        <scheme val="minor"/>
      </rPr>
      <t>]</t>
    </r>
  </si>
  <si>
    <r>
      <t>[mm</t>
    </r>
    <r>
      <rPr>
        <b/>
        <vertAlign val="superscript"/>
        <sz val="11"/>
        <color theme="1"/>
        <rFont val="Calibri"/>
        <family val="2"/>
        <scheme val="minor"/>
      </rPr>
      <t>2</t>
    </r>
    <r>
      <rPr>
        <b/>
        <sz val="11"/>
        <color theme="1"/>
        <rFont val="Calibri"/>
        <family val="2"/>
        <scheme val="minor"/>
      </rPr>
      <t>]</t>
    </r>
  </si>
  <si>
    <t>[MN/m²]</t>
  </si>
  <si>
    <r>
      <t>j</t>
    </r>
    <r>
      <rPr>
        <b/>
        <vertAlign val="subscript"/>
        <sz val="11"/>
        <color theme="1"/>
        <rFont val="Calibri"/>
        <family val="2"/>
        <scheme val="minor"/>
      </rPr>
      <t xml:space="preserve">xx,i </t>
    </r>
  </si>
  <si>
    <r>
      <t>J</t>
    </r>
    <r>
      <rPr>
        <b/>
        <vertAlign val="subscript"/>
        <sz val="11"/>
        <color theme="1"/>
        <rFont val="Calibri"/>
        <family val="2"/>
        <scheme val="minor"/>
      </rPr>
      <t>y,i</t>
    </r>
  </si>
  <si>
    <r>
      <t>B</t>
    </r>
    <r>
      <rPr>
        <b/>
        <vertAlign val="subscript"/>
        <sz val="11"/>
        <color theme="1"/>
        <rFont val="Calibri"/>
        <family val="2"/>
        <scheme val="minor"/>
      </rPr>
      <t xml:space="preserve">x,i </t>
    </r>
    <r>
      <rPr>
        <b/>
        <sz val="11"/>
        <color theme="1"/>
        <rFont val="Calibri"/>
        <family val="2"/>
      </rPr>
      <t/>
    </r>
  </si>
  <si>
    <r>
      <t>B</t>
    </r>
    <r>
      <rPr>
        <b/>
        <vertAlign val="subscript"/>
        <sz val="11"/>
        <color theme="1"/>
        <rFont val="Calibri"/>
        <family val="2"/>
        <scheme val="minor"/>
      </rPr>
      <t>y,i</t>
    </r>
  </si>
  <si>
    <r>
      <t>B</t>
    </r>
    <r>
      <rPr>
        <b/>
        <vertAlign val="subscript"/>
        <sz val="11"/>
        <color theme="1"/>
        <rFont val="Calibri"/>
        <family val="2"/>
        <scheme val="minor"/>
      </rPr>
      <t>xy,i</t>
    </r>
  </si>
  <si>
    <r>
      <t>EI</t>
    </r>
    <r>
      <rPr>
        <b/>
        <vertAlign val="subscript"/>
        <sz val="11"/>
        <color theme="1"/>
        <rFont val="Calibri"/>
        <family val="2"/>
        <scheme val="minor"/>
      </rPr>
      <t>x,B,i</t>
    </r>
  </si>
  <si>
    <r>
      <t>c</t>
    </r>
    <r>
      <rPr>
        <b/>
        <vertAlign val="subscript"/>
        <sz val="11"/>
        <color theme="1"/>
        <rFont val="Calibri"/>
        <family val="2"/>
        <scheme val="minor"/>
      </rPr>
      <t>xz,i</t>
    </r>
  </si>
  <si>
    <r>
      <t>1/S</t>
    </r>
    <r>
      <rPr>
        <b/>
        <vertAlign val="subscript"/>
        <sz val="11"/>
        <color theme="1"/>
        <rFont val="Calibri"/>
        <family val="2"/>
        <scheme val="minor"/>
      </rPr>
      <t>xz,i</t>
    </r>
  </si>
  <si>
    <r>
      <t>EI</t>
    </r>
    <r>
      <rPr>
        <b/>
        <vertAlign val="subscript"/>
        <sz val="11"/>
        <color theme="1"/>
        <rFont val="Calibri"/>
        <family val="2"/>
        <scheme val="minor"/>
      </rPr>
      <t>y,B,i</t>
    </r>
  </si>
  <si>
    <r>
      <t>D</t>
    </r>
    <r>
      <rPr>
        <b/>
        <vertAlign val="subscript"/>
        <sz val="11"/>
        <color theme="1"/>
        <rFont val="Calibri"/>
        <family val="2"/>
        <scheme val="minor"/>
      </rPr>
      <t>x,i</t>
    </r>
  </si>
  <si>
    <r>
      <t>D</t>
    </r>
    <r>
      <rPr>
        <b/>
        <vertAlign val="subscript"/>
        <sz val="11"/>
        <color theme="1"/>
        <rFont val="Calibri"/>
        <family val="2"/>
        <scheme val="minor"/>
      </rPr>
      <t>xj,i</t>
    </r>
  </si>
  <si>
    <t>AX</t>
  </si>
  <si>
    <t>AY</t>
  </si>
  <si>
    <r>
      <t>j</t>
    </r>
    <r>
      <rPr>
        <vertAlign val="subscript"/>
        <sz val="11"/>
        <color theme="1"/>
        <rFont val="Calibri"/>
        <family val="2"/>
        <scheme val="minor"/>
      </rPr>
      <t>xx,i</t>
    </r>
  </si>
  <si>
    <t>h</t>
  </si>
  <si>
    <r>
      <t xml:space="preserve">1) Wenn keine Seitenverklebung vorhanden ist dann ist für die Drillsteifigkeit </t>
    </r>
    <r>
      <rPr>
        <b/>
        <sz val="11"/>
        <color theme="1"/>
        <rFont val="Calibri"/>
        <family val="2"/>
        <scheme val="minor"/>
      </rPr>
      <t>B</t>
    </r>
    <r>
      <rPr>
        <b/>
        <vertAlign val="subscript"/>
        <sz val="11"/>
        <color theme="1"/>
        <rFont val="Calibri"/>
        <family val="2"/>
        <scheme val="minor"/>
      </rPr>
      <t>xy,i</t>
    </r>
    <r>
      <rPr>
        <b/>
        <sz val="11"/>
        <color theme="1"/>
        <rFont val="Calibri"/>
        <family val="2"/>
        <scheme val="minor"/>
      </rPr>
      <t xml:space="preserve">=0 </t>
    </r>
    <r>
      <rPr>
        <sz val="10"/>
        <rFont val="Arial"/>
        <family val="2"/>
      </rPr>
      <t>anzusetzen</t>
    </r>
  </si>
  <si>
    <t>Verwendete Formeln</t>
  </si>
  <si>
    <t>siehe Wordfile</t>
  </si>
  <si>
    <t>JA</t>
  </si>
  <si>
    <t>Schmalseitenverklebung</t>
  </si>
  <si>
    <t>NEIN</t>
  </si>
  <si>
    <t>Platten- und Scheibenberechnung</t>
  </si>
  <si>
    <t>Plattenberechnung (Reissner-Mindlin)</t>
  </si>
  <si>
    <r>
      <t>B</t>
    </r>
    <r>
      <rPr>
        <vertAlign val="subscript"/>
        <sz val="11"/>
        <color theme="1"/>
        <rFont val="Calibri"/>
        <family val="2"/>
        <scheme val="minor"/>
      </rPr>
      <t>x</t>
    </r>
  </si>
  <si>
    <r>
      <t>B</t>
    </r>
    <r>
      <rPr>
        <vertAlign val="subscript"/>
        <sz val="11"/>
        <color theme="1"/>
        <rFont val="Calibri"/>
        <family val="2"/>
        <scheme val="minor"/>
      </rPr>
      <t>y</t>
    </r>
  </si>
  <si>
    <r>
      <t>B</t>
    </r>
    <r>
      <rPr>
        <vertAlign val="subscript"/>
        <sz val="11"/>
        <color theme="1"/>
        <rFont val="Calibri"/>
        <family val="2"/>
        <scheme val="minor"/>
      </rPr>
      <t>xy</t>
    </r>
  </si>
  <si>
    <r>
      <t>S</t>
    </r>
    <r>
      <rPr>
        <vertAlign val="subscript"/>
        <sz val="11"/>
        <color theme="1"/>
        <rFont val="Calibri"/>
        <family val="2"/>
        <scheme val="minor"/>
      </rPr>
      <t>x</t>
    </r>
  </si>
  <si>
    <r>
      <t>S</t>
    </r>
    <r>
      <rPr>
        <vertAlign val="subscript"/>
        <sz val="11"/>
        <color theme="1"/>
        <rFont val="Calibri"/>
        <family val="2"/>
        <scheme val="minor"/>
      </rPr>
      <t>y</t>
    </r>
  </si>
  <si>
    <r>
      <t>S</t>
    </r>
    <r>
      <rPr>
        <vertAlign val="subscript"/>
        <sz val="11"/>
        <color theme="1"/>
        <rFont val="Calibri"/>
        <family val="2"/>
        <scheme val="minor"/>
      </rPr>
      <t>xy</t>
    </r>
  </si>
  <si>
    <r>
      <t>D</t>
    </r>
    <r>
      <rPr>
        <vertAlign val="subscript"/>
        <sz val="11"/>
        <color theme="1"/>
        <rFont val="Calibri"/>
        <family val="2"/>
        <scheme val="minor"/>
      </rPr>
      <t>x</t>
    </r>
  </si>
  <si>
    <r>
      <t>D</t>
    </r>
    <r>
      <rPr>
        <vertAlign val="subscript"/>
        <sz val="11"/>
        <color theme="1"/>
        <rFont val="Calibri"/>
        <family val="2"/>
        <scheme val="minor"/>
      </rPr>
      <t>y</t>
    </r>
  </si>
  <si>
    <t>Querdehnzahlen werden mit 0 angesetzt</t>
  </si>
  <si>
    <t>ETA-24/0058</t>
  </si>
  <si>
    <t>INPUT L/4</t>
  </si>
  <si>
    <t>INPUT L/2</t>
  </si>
  <si>
    <t>n°</t>
  </si>
  <si>
    <t>lef</t>
  </si>
  <si>
    <t>kv,0,0</t>
  </si>
  <si>
    <t>N/mm3</t>
  </si>
  <si>
    <t>Kv,ser</t>
  </si>
  <si>
    <t xml:space="preserve">N/mm  </t>
  </si>
  <si>
    <t>fv,ref,k</t>
  </si>
  <si>
    <t>N/mm2</t>
  </si>
  <si>
    <t>ρref,k</t>
  </si>
  <si>
    <t>kg/m3</t>
  </si>
  <si>
    <t>ρ,k</t>
  </si>
  <si>
    <t>Fv,Rk</t>
  </si>
  <si>
    <t>CLT</t>
  </si>
  <si>
    <t>Prod</t>
  </si>
  <si>
    <t>Layers</t>
  </si>
  <si>
    <t>Code</t>
  </si>
  <si>
    <t>11</t>
  </si>
  <si>
    <t>9</t>
  </si>
  <si>
    <t>7</t>
  </si>
  <si>
    <t>5</t>
  </si>
  <si>
    <t>3</t>
  </si>
  <si>
    <t>0</t>
  </si>
  <si>
    <t>3'</t>
  </si>
  <si>
    <t>5'</t>
  </si>
  <si>
    <t>7'</t>
  </si>
  <si>
    <t>9'</t>
  </si>
  <si>
    <t>11'</t>
  </si>
  <si>
    <t>HASSLACHER</t>
  </si>
  <si>
    <t>STORA</t>
  </si>
  <si>
    <t>80308030803080</t>
  </si>
  <si>
    <t>BINDER</t>
  </si>
  <si>
    <t>RUBNER</t>
  </si>
  <si>
    <t>KLH</t>
  </si>
  <si>
    <t>MM</t>
  </si>
  <si>
    <t>XLAM DOLOMITI</t>
  </si>
  <si>
    <t>PIVETEAU</t>
  </si>
  <si>
    <t>USER DEFINED</t>
  </si>
  <si>
    <t>Tipo legno secondo EN338:2016, UNIEN14080:2013</t>
  </si>
  <si>
    <t>Classe</t>
  </si>
  <si>
    <r>
      <t>f</t>
    </r>
    <r>
      <rPr>
        <vertAlign val="subscript"/>
        <sz val="10"/>
        <rFont val="Arial"/>
        <family val="2"/>
      </rPr>
      <t>m,k</t>
    </r>
  </si>
  <si>
    <r>
      <t>f</t>
    </r>
    <r>
      <rPr>
        <vertAlign val="subscript"/>
        <sz val="10"/>
        <rFont val="Arial"/>
        <family val="2"/>
      </rPr>
      <t>t,0,k</t>
    </r>
  </si>
  <si>
    <r>
      <t>f</t>
    </r>
    <r>
      <rPr>
        <vertAlign val="subscript"/>
        <sz val="10"/>
        <rFont val="Arial"/>
        <family val="2"/>
      </rPr>
      <t>t,90,k</t>
    </r>
  </si>
  <si>
    <r>
      <t>f</t>
    </r>
    <r>
      <rPr>
        <vertAlign val="subscript"/>
        <sz val="10"/>
        <rFont val="Arial"/>
        <family val="2"/>
      </rPr>
      <t>c,0,k</t>
    </r>
  </si>
  <si>
    <r>
      <t>f</t>
    </r>
    <r>
      <rPr>
        <vertAlign val="subscript"/>
        <sz val="10"/>
        <rFont val="Arial"/>
        <family val="2"/>
      </rPr>
      <t>c,90,k</t>
    </r>
  </si>
  <si>
    <r>
      <t>f</t>
    </r>
    <r>
      <rPr>
        <vertAlign val="subscript"/>
        <sz val="10"/>
        <rFont val="Arial"/>
        <family val="2"/>
      </rPr>
      <t>v,k</t>
    </r>
  </si>
  <si>
    <r>
      <t>f</t>
    </r>
    <r>
      <rPr>
        <vertAlign val="subscript"/>
        <sz val="11"/>
        <color theme="1"/>
        <rFont val="Calibri"/>
        <family val="2"/>
        <scheme val="minor"/>
      </rPr>
      <t>r,k</t>
    </r>
  </si>
  <si>
    <r>
      <t>E</t>
    </r>
    <r>
      <rPr>
        <vertAlign val="subscript"/>
        <sz val="10"/>
        <rFont val="Arial"/>
        <family val="2"/>
      </rPr>
      <t>0,mean</t>
    </r>
  </si>
  <si>
    <r>
      <t>E</t>
    </r>
    <r>
      <rPr>
        <vertAlign val="subscript"/>
        <sz val="10"/>
        <rFont val="Arial"/>
        <family val="2"/>
      </rPr>
      <t>0,05</t>
    </r>
  </si>
  <si>
    <r>
      <t>E</t>
    </r>
    <r>
      <rPr>
        <vertAlign val="subscript"/>
        <sz val="11"/>
        <color theme="1"/>
        <rFont val="Calibri"/>
        <family val="2"/>
        <scheme val="minor"/>
      </rPr>
      <t>90,mean</t>
    </r>
  </si>
  <si>
    <r>
      <t>E</t>
    </r>
    <r>
      <rPr>
        <vertAlign val="subscript"/>
        <sz val="11"/>
        <color theme="1"/>
        <rFont val="Calibri"/>
        <family val="2"/>
        <scheme val="minor"/>
      </rPr>
      <t>90,05</t>
    </r>
  </si>
  <si>
    <r>
      <t>G</t>
    </r>
    <r>
      <rPr>
        <vertAlign val="subscript"/>
        <sz val="10"/>
        <rFont val="Arial"/>
        <family val="2"/>
      </rPr>
      <t>mean</t>
    </r>
  </si>
  <si>
    <r>
      <t>G</t>
    </r>
    <r>
      <rPr>
        <vertAlign val="subscript"/>
        <sz val="11"/>
        <color theme="1"/>
        <rFont val="Calibri"/>
        <family val="2"/>
        <scheme val="minor"/>
      </rPr>
      <t>05</t>
    </r>
  </si>
  <si>
    <r>
      <t>G</t>
    </r>
    <r>
      <rPr>
        <vertAlign val="subscript"/>
        <sz val="11"/>
        <color theme="1"/>
        <rFont val="Calibri"/>
        <family val="2"/>
        <scheme val="minor"/>
      </rPr>
      <t>r,mean</t>
    </r>
  </si>
  <si>
    <r>
      <t>G</t>
    </r>
    <r>
      <rPr>
        <vertAlign val="subscript"/>
        <sz val="11"/>
        <color theme="1"/>
        <rFont val="Calibri"/>
        <family val="2"/>
        <scheme val="minor"/>
      </rPr>
      <t>r,05</t>
    </r>
  </si>
  <si>
    <r>
      <rPr>
        <sz val="11"/>
        <color theme="1"/>
        <rFont val="Verdana"/>
        <family val="2"/>
      </rPr>
      <t>ρ</t>
    </r>
    <r>
      <rPr>
        <vertAlign val="subscript"/>
        <sz val="15.95"/>
        <color theme="1"/>
        <rFont val="Calibri"/>
        <family val="2"/>
      </rPr>
      <t>k</t>
    </r>
  </si>
  <si>
    <r>
      <rPr>
        <sz val="11"/>
        <color theme="1"/>
        <rFont val="Verdana"/>
        <family val="2"/>
      </rPr>
      <t>ρ</t>
    </r>
    <r>
      <rPr>
        <vertAlign val="subscript"/>
        <sz val="10"/>
        <rFont val="Arial"/>
        <family val="2"/>
      </rPr>
      <t>mean</t>
    </r>
  </si>
  <si>
    <r>
      <rPr>
        <sz val="11"/>
        <color theme="1"/>
        <rFont val="Verdana"/>
        <family val="2"/>
      </rPr>
      <t>γ</t>
    </r>
    <r>
      <rPr>
        <vertAlign val="subscript"/>
        <sz val="15.95"/>
        <color theme="1"/>
        <rFont val="Calibri"/>
        <family val="2"/>
      </rPr>
      <t>M</t>
    </r>
  </si>
  <si>
    <t>GL20h - UNI EN14080:2013</t>
  </si>
  <si>
    <t>GL22h - UNI EN14080:2013</t>
  </si>
  <si>
    <t>GL26h - UNI EN14080:2013</t>
  </si>
  <si>
    <t>GL28h - UNI EN14080:2013</t>
  </si>
  <si>
    <t>GL30h - UNI EN14080:2013</t>
  </si>
  <si>
    <t>GL32h - UNI EN14080:2013</t>
  </si>
  <si>
    <t>GL20c - UNI EN14080:2013</t>
  </si>
  <si>
    <t>GL22c - UNI EN14080:2013</t>
  </si>
  <si>
    <t>GL24c - UNI EN14080:2013</t>
  </si>
  <si>
    <t>GL26c - UNI EN14080:2013</t>
  </si>
  <si>
    <t>GL28c - UNI EN14080:2013</t>
  </si>
  <si>
    <t>GL30c - UNI EN14080:2013</t>
  </si>
  <si>
    <t>GL32c - UNI EN14080:2013</t>
  </si>
  <si>
    <t>C18 - EN338:2016</t>
  </si>
  <si>
    <t>C20 - EN338:2016</t>
  </si>
  <si>
    <t>C22 - EN338:2016</t>
  </si>
  <si>
    <t>C27 - EN338:2016</t>
  </si>
  <si>
    <t>C30 - EN338:2016</t>
  </si>
  <si>
    <t>D24 - EN338:2016</t>
  </si>
  <si>
    <t>D30 - EN338:2016</t>
  </si>
  <si>
    <t>UNI - Castagno S</t>
  </si>
  <si>
    <t>UNI - Querce cad. S</t>
  </si>
  <si>
    <t>UNI - Pioppo Ontano S</t>
  </si>
  <si>
    <t>UNI - Altre latifoglie S</t>
  </si>
  <si>
    <t>UNI - Abete Nord S1</t>
  </si>
  <si>
    <t>UNI - Abete Nord S2</t>
  </si>
  <si>
    <t>UNI - Abete Nord S3</t>
  </si>
  <si>
    <t>UNI - Abete Centro-Sud S1</t>
  </si>
  <si>
    <t>UNI - Abete Centro-Sud S2</t>
  </si>
  <si>
    <t>UNI - Abete Centro-Sud S3</t>
  </si>
  <si>
    <t>UNI - Larice S1</t>
  </si>
  <si>
    <t>UNI - Larice S2</t>
  </si>
  <si>
    <t>UNI - Larice S3</t>
  </si>
  <si>
    <t>UNI - Douglasia S1</t>
  </si>
  <si>
    <t>UNI - Douglasia S2/3</t>
  </si>
  <si>
    <t>UNI - Altre conifere S1</t>
  </si>
  <si>
    <t>UNI - Altre conifere S2</t>
  </si>
  <si>
    <t>UNI - Altre conifere S3</t>
  </si>
  <si>
    <t>sovraccarico variabile (a tendina)</t>
  </si>
  <si>
    <t>valore kN/m2</t>
  </si>
  <si>
    <r>
      <t>y</t>
    </r>
    <r>
      <rPr>
        <vertAlign val="subscript"/>
        <sz val="10"/>
        <rFont val="Arial"/>
        <family val="2"/>
      </rPr>
      <t>2</t>
    </r>
    <r>
      <rPr>
        <sz val="10"/>
        <rFont val="Arial"/>
        <family val="2"/>
      </rPr>
      <t xml:space="preserve"> (compare nella finestra parametri)</t>
    </r>
  </si>
  <si>
    <t>A: ambienti ad uso residenziale</t>
  </si>
  <si>
    <t>B1: uffici non aperti al pubblico</t>
  </si>
  <si>
    <t>B2: uffici aperti al pubblico</t>
  </si>
  <si>
    <t>C1: ospedali, ristoranti, caffè, scuole</t>
  </si>
  <si>
    <t>C2: balconi, ballatoi, scale, cinema, teatri</t>
  </si>
  <si>
    <t>C3: musei, sale da ballo, stazioni</t>
  </si>
  <si>
    <t>D1: negozi</t>
  </si>
  <si>
    <t>D2: centri commerciali</t>
  </si>
  <si>
    <t>E1: Biblioteche, archivi, magazzini</t>
  </si>
  <si>
    <t>F: rimesse e parcheggi  (max 30 kN)</t>
  </si>
  <si>
    <t>H1: Coperture e sottotetti non accessibili</t>
  </si>
  <si>
    <t>Valori di kmod</t>
  </si>
  <si>
    <t>CS</t>
  </si>
  <si>
    <t>Valori di kdef</t>
  </si>
  <si>
    <t>Quasi Permanenti</t>
  </si>
  <si>
    <t>γ</t>
  </si>
  <si>
    <t>Description</t>
  </si>
  <si>
    <r>
      <t>γ</t>
    </r>
    <r>
      <rPr>
        <vertAlign val="subscript"/>
        <sz val="10"/>
        <rFont val="Verdana"/>
        <family val="2"/>
      </rPr>
      <t>M</t>
    </r>
  </si>
  <si>
    <r>
      <t>γ</t>
    </r>
    <r>
      <rPr>
        <vertAlign val="subscript"/>
        <sz val="10"/>
        <rFont val="Verdana"/>
        <family val="2"/>
      </rPr>
      <t>M,SLU,1</t>
    </r>
  </si>
  <si>
    <t>per CLT da EC5:2025</t>
  </si>
  <si>
    <r>
      <t>γ</t>
    </r>
    <r>
      <rPr>
        <vertAlign val="subscript"/>
        <sz val="10"/>
        <rFont val="Verdana"/>
        <family val="2"/>
      </rPr>
      <t>M,SLU,2</t>
    </r>
  </si>
  <si>
    <t>Classe di durata del carico accidentale</t>
  </si>
  <si>
    <r>
      <t>γ</t>
    </r>
    <r>
      <rPr>
        <vertAlign val="subscript"/>
        <sz val="10"/>
        <rFont val="Verdana"/>
        <family val="2"/>
      </rPr>
      <t>M1</t>
    </r>
  </si>
  <si>
    <t>Instabilità</t>
  </si>
  <si>
    <t>Classe di durata</t>
  </si>
  <si>
    <r>
      <t>γ</t>
    </r>
    <r>
      <rPr>
        <vertAlign val="subscript"/>
        <sz val="10"/>
        <rFont val="Verdana"/>
        <family val="2"/>
      </rPr>
      <t>M,2</t>
    </r>
  </si>
  <si>
    <t>Sezione tesa</t>
  </si>
  <si>
    <r>
      <t>γ</t>
    </r>
    <r>
      <rPr>
        <vertAlign val="subscript"/>
        <sz val="10"/>
        <rFont val="Verdana"/>
        <family val="2"/>
      </rPr>
      <t>g</t>
    </r>
  </si>
  <si>
    <r>
      <t>γ</t>
    </r>
    <r>
      <rPr>
        <vertAlign val="subscript"/>
        <sz val="10"/>
        <rFont val="Verdana"/>
        <family val="2"/>
      </rPr>
      <t>q</t>
    </r>
  </si>
  <si>
    <t>Tipo pannello</t>
  </si>
  <si>
    <r>
      <rPr>
        <sz val="11"/>
        <color theme="1"/>
        <rFont val="Verdana"/>
        <family val="2"/>
      </rPr>
      <t>ρ</t>
    </r>
    <r>
      <rPr>
        <vertAlign val="subscript"/>
        <sz val="10"/>
        <rFont val="Arial"/>
        <family val="2"/>
      </rPr>
      <t>k</t>
    </r>
  </si>
  <si>
    <t>Compensato finlandese</t>
  </si>
  <si>
    <t>Compensato americano</t>
  </si>
  <si>
    <t>Compensato canadese</t>
  </si>
  <si>
    <t>Pannelli di particelle e OSB</t>
  </si>
  <si>
    <t>Tipo sezione cambrette</t>
  </si>
  <si>
    <t>Tonda</t>
  </si>
  <si>
    <t>Rettangolare</t>
  </si>
  <si>
    <t>Tipo vite</t>
  </si>
  <si>
    <t>Diametro gambo liscio uguale a diametro esterno parte filettata</t>
  </si>
  <si>
    <t>Diametro esterno parte filettata &gt; diametro gambo liscio</t>
  </si>
  <si>
    <r>
      <t>Valori di k</t>
    </r>
    <r>
      <rPr>
        <vertAlign val="subscript"/>
        <sz val="10"/>
        <rFont val="Arial"/>
        <family val="2"/>
      </rPr>
      <t>ef</t>
    </r>
    <r>
      <rPr>
        <sz val="10"/>
        <rFont val="Arial"/>
        <family val="2"/>
      </rPr>
      <t xml:space="preserve"> (chiodi)</t>
    </r>
  </si>
  <si>
    <t>no preforo</t>
  </si>
  <si>
    <t>si preforo</t>
  </si>
  <si>
    <r>
      <t>a</t>
    </r>
    <r>
      <rPr>
        <vertAlign val="subscript"/>
        <sz val="10"/>
        <rFont val="Arial"/>
        <family val="2"/>
      </rPr>
      <t>1</t>
    </r>
    <r>
      <rPr>
        <sz val="11"/>
        <color theme="1"/>
        <rFont val="Calibri"/>
        <family val="2"/>
      </rPr>
      <t xml:space="preserve"> &gt;=14d</t>
    </r>
  </si>
  <si>
    <r>
      <t>a</t>
    </r>
    <r>
      <rPr>
        <vertAlign val="subscript"/>
        <sz val="10"/>
        <rFont val="Arial"/>
        <family val="2"/>
      </rPr>
      <t>1</t>
    </r>
    <r>
      <rPr>
        <sz val="11"/>
        <color theme="1"/>
        <rFont val="Calibri"/>
        <family val="2"/>
      </rPr>
      <t xml:space="preserve"> = 10d</t>
    </r>
  </si>
  <si>
    <r>
      <t>a</t>
    </r>
    <r>
      <rPr>
        <vertAlign val="subscript"/>
        <sz val="10"/>
        <rFont val="Arial"/>
        <family val="2"/>
      </rPr>
      <t>1</t>
    </r>
    <r>
      <rPr>
        <sz val="11"/>
        <color theme="1"/>
        <rFont val="Calibri"/>
        <family val="2"/>
      </rPr>
      <t xml:space="preserve"> = 7d</t>
    </r>
  </si>
  <si>
    <r>
      <t>a</t>
    </r>
    <r>
      <rPr>
        <vertAlign val="subscript"/>
        <sz val="10"/>
        <rFont val="Arial"/>
        <family val="2"/>
      </rPr>
      <t>1</t>
    </r>
    <r>
      <rPr>
        <sz val="11"/>
        <color theme="1"/>
        <rFont val="Calibri"/>
        <family val="2"/>
      </rPr>
      <t xml:space="preserve"> = 4d</t>
    </r>
  </si>
  <si>
    <t>-</t>
  </si>
  <si>
    <t>DISTANZE MINIME</t>
  </si>
  <si>
    <t>modo 1 e 4</t>
  </si>
  <si>
    <t xml:space="preserve"> modo 2 e 5</t>
  </si>
  <si>
    <t>Modo 3</t>
  </si>
  <si>
    <t>ρ&lt;420 kg/m3</t>
  </si>
  <si>
    <t>ρ&gt;420 kg/m3</t>
  </si>
  <si>
    <t>a1</t>
  </si>
  <si>
    <t>a2</t>
  </si>
  <si>
    <t>a1cg</t>
  </si>
  <si>
    <t>a2cg</t>
  </si>
  <si>
    <t>a4c</t>
  </si>
  <si>
    <t>a cross</t>
  </si>
  <si>
    <t xml:space="preserve">Modo 1 </t>
  </si>
  <si>
    <t>Modo 2</t>
  </si>
  <si>
    <t>Modo 4</t>
  </si>
  <si>
    <t>Modo 5</t>
  </si>
  <si>
    <t>Larghezza minima travetto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</si>
</sst>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6" formatCode="0.0000"/>
    <numFmt numFmtId="167" formatCode="0.00000"/>
    <numFmt numFmtId="168" formatCode="0.0%"/>
    <numFmt numFmtId="169" formatCode="0.000E+00"/>
    <numFmt numFmtId="170" formatCode="[$-809]dd/mm/yyyy"/>
    <numFmt numFmtId="171" formatCode="0.0E+00"/>
  </numFmts>
  <fonts count="82">
    <font>
      <sz val="11"/>
      <color theme="1"/>
      <name val="Calibri"/>
      <family val="2"/>
    </font>
    <font>
      <sz val="10"/>
      <color theme="1"/>
      <name val="Verdana"/>
      <family val="2"/>
    </font>
    <font>
      <sz val="10"/>
      <name val="Arial"/>
      <family val="2"/>
    </font>
    <font>
      <b/>
      <sz val="12"/>
      <name val="Arial"/>
      <family val="2"/>
    </font>
    <font>
      <i/>
      <sz val="12"/>
      <name val="Times New Roman"/>
      <family val="1"/>
    </font>
    <font>
      <i/>
      <vertAlign val="subscript"/>
      <sz val="12"/>
      <name val="Times New Roman"/>
      <family val="1"/>
    </font>
    <font>
      <b/>
      <sz val="10"/>
      <name val="Arial"/>
      <family val="2"/>
    </font>
    <font>
      <sz val="10"/>
      <name val="Verdana"/>
      <family val="2"/>
    </font>
    <font>
      <sz val="12"/>
      <name val="Times New Roman"/>
      <family val="1"/>
    </font>
    <font>
      <vertAlign val="subscript"/>
      <sz val="10"/>
      <name val="Arial"/>
      <family val="2"/>
    </font>
    <font>
      <sz val="10"/>
      <name val="Symbol"/>
      <family val="1"/>
      <charset val="2"/>
    </font>
    <font>
      <i/>
      <sz val="12"/>
      <color theme="1"/>
      <name val="Times New Roman"/>
      <family val="1"/>
    </font>
    <font>
      <sz val="11"/>
      <color theme="1"/>
      <name val="Calibri"/>
      <family val="2"/>
    </font>
    <font>
      <sz val="10"/>
      <name val="Calibri"/>
      <family val="2"/>
    </font>
    <font>
      <sz val="11"/>
      <color theme="1"/>
      <name val="Calibri"/>
      <family val="2"/>
      <scheme val="minor"/>
    </font>
    <font>
      <b/>
      <sz val="11"/>
      <color theme="1"/>
      <name val="Calibri"/>
      <family val="2"/>
      <scheme val="minor"/>
    </font>
    <font>
      <sz val="10"/>
      <color theme="1"/>
      <name val="Calibri"/>
      <family val="2"/>
      <scheme val="minor"/>
    </font>
    <font>
      <b/>
      <sz val="12"/>
      <color theme="9" tint="-0.249977111117893"/>
      <name val="Calibri"/>
      <family val="2"/>
      <scheme val="minor"/>
    </font>
    <font>
      <sz val="11"/>
      <color theme="1"/>
      <name val="Verdana"/>
      <family val="2"/>
    </font>
    <font>
      <i/>
      <sz val="11"/>
      <color theme="0" tint="-0.34998626667073579"/>
      <name val="Arial Narrow"/>
      <family val="2"/>
    </font>
    <font>
      <b/>
      <sz val="12"/>
      <color theme="1"/>
      <name val="Calibri"/>
      <family val="2"/>
      <scheme val="minor"/>
    </font>
    <font>
      <b/>
      <sz val="11"/>
      <color rgb="FFFF0000"/>
      <name val="Arial Narrow"/>
      <family val="2"/>
    </font>
    <font>
      <sz val="11"/>
      <color theme="1"/>
      <name val="Arial Narrow"/>
      <family val="2"/>
    </font>
    <font>
      <b/>
      <sz val="14"/>
      <color rgb="FFC00000"/>
      <name val="Calibri"/>
      <family val="2"/>
      <scheme val="minor"/>
    </font>
    <font>
      <sz val="12"/>
      <color theme="0" tint="-0.499984740745262"/>
      <name val="Calibri"/>
      <family val="2"/>
      <scheme val="minor"/>
    </font>
    <font>
      <sz val="14"/>
      <color theme="1"/>
      <name val="Calibri"/>
      <family val="2"/>
      <scheme val="minor"/>
    </font>
    <font>
      <sz val="10"/>
      <color theme="0" tint="-0.499984740745262"/>
      <name val="Calibri"/>
      <family val="2"/>
      <scheme val="minor"/>
    </font>
    <font>
      <b/>
      <vertAlign val="superscript"/>
      <sz val="11"/>
      <color theme="1"/>
      <name val="Calibri"/>
      <family val="2"/>
      <scheme val="minor"/>
    </font>
    <font>
      <b/>
      <vertAlign val="subscript"/>
      <sz val="11"/>
      <color theme="1"/>
      <name val="Calibri"/>
      <family val="2"/>
      <scheme val="minor"/>
    </font>
    <font>
      <b/>
      <sz val="11"/>
      <color rgb="FFFF0000"/>
      <name val="Calibri"/>
      <family val="2"/>
      <scheme val="minor"/>
    </font>
    <font>
      <b/>
      <vertAlign val="subscript"/>
      <sz val="11"/>
      <color rgb="FFFF0000"/>
      <name val="Calibri"/>
      <family val="2"/>
      <scheme val="minor"/>
    </font>
    <font>
      <b/>
      <sz val="11"/>
      <color theme="1"/>
      <name val="Calibri"/>
      <family val="2"/>
    </font>
    <font>
      <vertAlign val="subscript"/>
      <sz val="11"/>
      <color theme="1"/>
      <name val="Calibri"/>
      <family val="2"/>
      <scheme val="minor"/>
    </font>
    <font>
      <sz val="12"/>
      <color theme="1"/>
      <name val="Calibri"/>
      <family val="2"/>
      <scheme val="minor"/>
    </font>
    <font>
      <sz val="11"/>
      <color theme="1"/>
      <name val="Aptos Narrow"/>
      <family val="2"/>
    </font>
    <font>
      <b/>
      <sz val="11"/>
      <color theme="3"/>
      <name val="Verdana"/>
      <family val="2"/>
    </font>
    <font>
      <sz val="10"/>
      <color theme="0"/>
      <name val="Verdana"/>
      <family val="2"/>
    </font>
    <font>
      <u/>
      <sz val="11"/>
      <color theme="10"/>
      <name val="Calibri"/>
      <family val="2"/>
      <scheme val="minor"/>
    </font>
    <font>
      <b/>
      <sz val="10"/>
      <name val="Verdana"/>
      <family val="2"/>
    </font>
    <font>
      <b/>
      <sz val="13"/>
      <color theme="0"/>
      <name val="Verdana"/>
      <family val="2"/>
    </font>
    <font>
      <b/>
      <sz val="14"/>
      <color theme="0"/>
      <name val="Verdana"/>
      <family val="2"/>
    </font>
    <font>
      <b/>
      <sz val="11"/>
      <color theme="1"/>
      <name val="Verdana"/>
      <family val="2"/>
    </font>
    <font>
      <b/>
      <u/>
      <sz val="14"/>
      <color theme="0"/>
      <name val="Verdana"/>
      <family val="2"/>
    </font>
    <font>
      <b/>
      <sz val="12"/>
      <color theme="1"/>
      <name val="Verdana"/>
      <family val="2"/>
    </font>
    <font>
      <vertAlign val="superscript"/>
      <sz val="11"/>
      <color theme="1"/>
      <name val="Calibri"/>
      <family val="2"/>
      <scheme val="minor"/>
    </font>
    <font>
      <b/>
      <sz val="10"/>
      <color theme="1"/>
      <name val="Verdana"/>
      <family val="2"/>
    </font>
    <font>
      <vertAlign val="subscript"/>
      <sz val="15.95"/>
      <color theme="1"/>
      <name val="Calibri"/>
      <family val="2"/>
    </font>
    <font>
      <b/>
      <sz val="13"/>
      <color theme="3"/>
      <name val="Verdana"/>
      <family val="2"/>
    </font>
    <font>
      <sz val="8"/>
      <name val="Calibri"/>
      <family val="2"/>
      <scheme val="minor"/>
    </font>
    <font>
      <b/>
      <sz val="10"/>
      <color rgb="FF3F3F3F"/>
      <name val="Verdana"/>
      <family val="2"/>
    </font>
    <font>
      <vertAlign val="subscript"/>
      <sz val="10"/>
      <name val="Verdana"/>
      <family val="2"/>
    </font>
    <font>
      <vertAlign val="subscript"/>
      <sz val="12"/>
      <color theme="0" tint="-0.499984740745262"/>
      <name val="Calibri"/>
      <family val="2"/>
      <scheme val="minor"/>
    </font>
    <font>
      <i/>
      <vertAlign val="subscript"/>
      <sz val="12"/>
      <color theme="1"/>
      <name val="Times New Roman"/>
      <family val="1"/>
    </font>
    <font>
      <b/>
      <sz val="25"/>
      <color theme="1"/>
      <name val="Verdana"/>
      <family val="2"/>
    </font>
    <font>
      <i/>
      <vertAlign val="subscript"/>
      <sz val="12"/>
      <name val="Verdana"/>
      <family val="2"/>
    </font>
    <font>
      <vertAlign val="superscript"/>
      <sz val="10"/>
      <name val="Verdana"/>
      <family val="2"/>
    </font>
    <font>
      <sz val="9"/>
      <color theme="1"/>
      <name val="Verdana"/>
      <family val="2"/>
    </font>
    <font>
      <sz val="12"/>
      <color theme="1"/>
      <name val="Verdana"/>
      <family val="2"/>
    </font>
    <font>
      <sz val="8"/>
      <color theme="1"/>
      <name val="Verdana"/>
      <family val="2"/>
    </font>
    <font>
      <b/>
      <sz val="9"/>
      <color theme="1"/>
      <name val="Verdana"/>
      <family val="2"/>
    </font>
    <font>
      <sz val="10"/>
      <color theme="1"/>
      <name val="Calibri"/>
      <family val="2"/>
    </font>
    <font>
      <vertAlign val="subscrip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Times New Roman"/>
      <family val="1"/>
    </font>
    <font>
      <i/>
      <vertAlign val="subscript"/>
      <sz val="10"/>
      <color theme="1"/>
      <name val="Times New Roman"/>
      <family val="1"/>
    </font>
    <font>
      <vertAlign val="superscript"/>
      <sz val="10"/>
      <color theme="1"/>
      <name val="Verdana"/>
      <family val="2"/>
    </font>
    <font>
      <sz val="11"/>
      <color theme="1"/>
      <name val="Times New Roman"/>
      <family val="1"/>
    </font>
    <font>
      <i/>
      <sz val="11"/>
      <color theme="1"/>
      <name val="Times New Roman"/>
      <family val="1"/>
    </font>
    <font>
      <i/>
      <vertAlign val="subscript"/>
      <sz val="11"/>
      <color theme="1"/>
      <name val="Times New Roman"/>
      <family val="1"/>
    </font>
    <font>
      <vertAlign val="subscript"/>
      <sz val="11"/>
      <color theme="1"/>
      <name val="Calibri"/>
      <family val="2"/>
    </font>
    <font>
      <vertAlign val="subscript"/>
      <sz val="11"/>
      <color theme="1"/>
      <name val="Times New Roman"/>
      <family val="1"/>
    </font>
    <font>
      <i/>
      <vertAlign val="subscript"/>
      <sz val="11"/>
      <name val="Times New Roman"/>
      <family val="1"/>
    </font>
    <font>
      <i/>
      <vertAlign val="subscript"/>
      <sz val="10"/>
      <name val="Times New Roman"/>
      <family val="1"/>
    </font>
    <font>
      <sz val="11"/>
      <color theme="0"/>
      <name val="Verdana"/>
      <family val="2"/>
    </font>
    <font>
      <vertAlign val="subscript"/>
      <sz val="10"/>
      <color theme="1"/>
      <name val="Verdana"/>
      <family val="2"/>
    </font>
    <font>
      <sz val="10"/>
      <color theme="0"/>
      <name val="Times New Roman"/>
      <family val="1"/>
    </font>
    <font>
      <b/>
      <i/>
      <sz val="10"/>
      <color theme="0"/>
      <name val="Times New Roman"/>
      <family val="1"/>
    </font>
    <font>
      <vertAlign val="subscript"/>
      <sz val="10"/>
      <color theme="1"/>
      <name val="Times New Roman"/>
      <family val="1"/>
    </font>
    <font>
      <sz val="10"/>
      <color theme="1"/>
      <name val="Times New Roman"/>
      <family val="1"/>
    </font>
    <font>
      <sz val="11"/>
      <color theme="0"/>
      <name val="Calibri"/>
      <family val="2"/>
    </font>
    <font>
      <i/>
      <u/>
      <sz val="11"/>
      <color theme="1"/>
      <name val="Calibri"/>
      <family val="2"/>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1"/>
        <bgColor indexed="64"/>
      </patternFill>
    </fill>
    <fill>
      <patternFill patternType="solid">
        <fgColor rgb="FFF2F2F2"/>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theme="4" tint="0.39997558519241921"/>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style="thick">
        <color theme="0"/>
      </top>
      <bottom style="thick">
        <color theme="0"/>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top/>
      <bottom/>
      <diagonal/>
    </border>
    <border>
      <left/>
      <right style="thick">
        <color theme="0"/>
      </right>
      <top/>
      <bottom/>
      <diagonal/>
    </border>
    <border>
      <left/>
      <right/>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s>
  <cellStyleXfs count="8">
    <xf numFmtId="0" fontId="0" fillId="0" borderId="0"/>
    <xf numFmtId="0" fontId="2" fillId="0" borderId="0"/>
    <xf numFmtId="0" fontId="14" fillId="0" borderId="0"/>
    <xf numFmtId="0" fontId="35" fillId="0" borderId="17" applyNumberFormat="0" applyFill="0" applyAlignment="0" applyProtection="0"/>
    <xf numFmtId="0" fontId="37" fillId="0" borderId="0" applyNumberFormat="0" applyFill="0" applyBorder="0" applyAlignment="0" applyProtection="0"/>
    <xf numFmtId="0" fontId="47" fillId="0" borderId="28" applyNumberFormat="0" applyFill="0" applyAlignment="0" applyProtection="0"/>
    <xf numFmtId="0" fontId="49" fillId="9" borderId="29" applyNumberFormat="0" applyAlignment="0" applyProtection="0"/>
    <xf numFmtId="9" fontId="12" fillId="0" borderId="0" applyFont="0" applyFill="0" applyBorder="0" applyAlignment="0" applyProtection="0"/>
  </cellStyleXfs>
  <cellXfs count="282">
    <xf numFmtId="0" fontId="0" fillId="0" borderId="0" xfId="0"/>
    <xf numFmtId="164" fontId="2" fillId="0" borderId="0" xfId="1" applyNumberFormat="1" applyAlignment="1" applyProtection="1">
      <alignment horizontal="center" vertical="center"/>
      <protection hidden="1"/>
    </xf>
    <xf numFmtId="0" fontId="2" fillId="0" borderId="0" xfId="1" applyAlignment="1" applyProtection="1">
      <alignment horizontal="center" vertical="center"/>
      <protection hidden="1"/>
    </xf>
    <xf numFmtId="0" fontId="2" fillId="0" borderId="0" xfId="1"/>
    <xf numFmtId="0" fontId="3" fillId="0" borderId="0" xfId="1" applyFont="1"/>
    <xf numFmtId="0" fontId="6" fillId="0" borderId="0" xfId="1" applyFont="1"/>
    <xf numFmtId="0" fontId="6" fillId="0" borderId="0" xfId="1" applyFont="1" applyAlignment="1">
      <alignment horizontal="center"/>
    </xf>
    <xf numFmtId="0" fontId="17" fillId="0" borderId="0" xfId="1" applyFont="1" applyAlignment="1">
      <alignment vertical="center"/>
    </xf>
    <xf numFmtId="0" fontId="18" fillId="0" borderId="0" xfId="1" applyFont="1" applyAlignment="1">
      <alignment horizontal="right" vertical="center" wrapText="1"/>
    </xf>
    <xf numFmtId="0" fontId="2" fillId="0" borderId="0" xfId="1" applyAlignment="1">
      <alignment horizontal="center"/>
    </xf>
    <xf numFmtId="0" fontId="19" fillId="0" borderId="0" xfId="1" applyFont="1" applyAlignment="1">
      <alignment horizontal="center" vertical="center" wrapText="1"/>
    </xf>
    <xf numFmtId="0" fontId="21" fillId="0" borderId="0" xfId="1" applyFont="1" applyAlignment="1">
      <alignment horizontal="center" vertical="center" wrapText="1"/>
    </xf>
    <xf numFmtId="0" fontId="22" fillId="0" borderId="0" xfId="1" applyFont="1" applyAlignment="1">
      <alignment horizontal="center" vertical="center" wrapText="1"/>
    </xf>
    <xf numFmtId="0" fontId="14" fillId="0" borderId="0" xfId="2" applyAlignment="1">
      <alignment vertical="center"/>
    </xf>
    <xf numFmtId="1" fontId="2" fillId="0" borderId="0" xfId="1" applyNumberFormat="1" applyAlignment="1" applyProtection="1">
      <alignment horizontal="center" vertical="center"/>
      <protection hidden="1"/>
    </xf>
    <xf numFmtId="0" fontId="0" fillId="0" borderId="0" xfId="0" applyAlignment="1">
      <alignment horizontal="left" vertical="center" wrapText="1"/>
    </xf>
    <xf numFmtId="0" fontId="0" fillId="0" borderId="0" xfId="0" applyAlignment="1">
      <alignment horizontal="center" vertical="center"/>
    </xf>
    <xf numFmtId="0" fontId="35" fillId="0" borderId="17" xfId="3" applyAlignment="1">
      <alignment horizontal="justify" vertical="justify" wrapText="1"/>
    </xf>
    <xf numFmtId="0" fontId="0" fillId="0" borderId="0" xfId="0" applyAlignment="1">
      <alignment horizontal="justify" vertical="justify" wrapText="1"/>
    </xf>
    <xf numFmtId="0" fontId="0" fillId="0" borderId="0" xfId="0" applyAlignment="1">
      <alignment horizontal="justify" vertical="top" wrapText="1"/>
    </xf>
    <xf numFmtId="0" fontId="0" fillId="0" borderId="0" xfId="0" applyAlignment="1">
      <alignment vertical="center"/>
    </xf>
    <xf numFmtId="0" fontId="2" fillId="0" borderId="0" xfId="1" applyAlignment="1" applyProtection="1">
      <alignment vertical="center"/>
      <protection hidden="1"/>
    </xf>
    <xf numFmtId="0" fontId="0" fillId="0" borderId="0" xfId="0" applyAlignment="1">
      <alignment vertical="center" wrapText="1"/>
    </xf>
    <xf numFmtId="0" fontId="0" fillId="0" borderId="0" xfId="0" applyAlignment="1">
      <alignment horizontal="center" vertical="center" wrapText="1"/>
    </xf>
    <xf numFmtId="1" fontId="0" fillId="0" borderId="0" xfId="0" applyNumberFormat="1" applyAlignment="1">
      <alignment horizontal="center" vertical="center"/>
    </xf>
    <xf numFmtId="0" fontId="0" fillId="0" borderId="0" xfId="0" applyAlignment="1">
      <alignment horizontal="left" vertical="center"/>
    </xf>
    <xf numFmtId="0" fontId="34" fillId="0" borderId="0" xfId="0" applyFont="1" applyAlignment="1">
      <alignment horizontal="left" vertical="center"/>
    </xf>
    <xf numFmtId="0" fontId="2" fillId="0" borderId="4" xfId="1" applyBorder="1" applyAlignment="1" applyProtection="1">
      <alignment vertical="center"/>
      <protection hidden="1"/>
    </xf>
    <xf numFmtId="0" fontId="2" fillId="0" borderId="0" xfId="1" applyAlignment="1" applyProtection="1">
      <alignment horizontal="left" vertical="center"/>
      <protection hidden="1"/>
    </xf>
    <xf numFmtId="0" fontId="8" fillId="0" borderId="4" xfId="1" applyFont="1" applyBorder="1" applyAlignment="1" applyProtection="1">
      <alignment vertical="center" wrapText="1"/>
      <protection hidden="1"/>
    </xf>
    <xf numFmtId="0" fontId="2" fillId="0" borderId="3" xfId="1" applyBorder="1" applyAlignment="1" applyProtection="1">
      <alignment vertical="center" wrapText="1"/>
      <protection hidden="1"/>
    </xf>
    <xf numFmtId="0" fontId="10" fillId="0" borderId="3" xfId="1" applyFont="1" applyBorder="1" applyAlignment="1" applyProtection="1">
      <alignment vertical="center" wrapText="1"/>
      <protection hidden="1"/>
    </xf>
    <xf numFmtId="0" fontId="2" fillId="0" borderId="5" xfId="1" applyBorder="1" applyAlignment="1" applyProtection="1">
      <alignment vertical="center" wrapText="1"/>
      <protection hidden="1"/>
    </xf>
    <xf numFmtId="0" fontId="2" fillId="0" borderId="10" xfId="1" applyBorder="1" applyAlignment="1" applyProtection="1">
      <alignment vertical="center" wrapText="1"/>
      <protection hidden="1"/>
    </xf>
    <xf numFmtId="0" fontId="2" fillId="0" borderId="0" xfId="1" applyAlignment="1" applyProtection="1">
      <alignment vertical="center" wrapText="1"/>
      <protection hidden="1"/>
    </xf>
    <xf numFmtId="0" fontId="2" fillId="0" borderId="4" xfId="1" applyBorder="1" applyAlignment="1" applyProtection="1">
      <alignment horizontal="left" vertical="center"/>
      <protection hidden="1"/>
    </xf>
    <xf numFmtId="0" fontId="2" fillId="0" borderId="4" xfId="1" applyBorder="1" applyAlignment="1" applyProtection="1">
      <alignment horizontal="right" vertical="center"/>
      <protection hidden="1"/>
    </xf>
    <xf numFmtId="0" fontId="2" fillId="0" borderId="11" xfId="1" applyBorder="1" applyAlignment="1" applyProtection="1">
      <alignment vertical="center"/>
      <protection hidden="1"/>
    </xf>
    <xf numFmtId="0" fontId="6" fillId="0" borderId="0" xfId="1" applyFont="1" applyAlignment="1" applyProtection="1">
      <alignment vertical="center"/>
      <protection hidden="1"/>
    </xf>
    <xf numFmtId="0" fontId="13" fillId="0" borderId="0" xfId="1" applyFont="1" applyAlignment="1" applyProtection="1">
      <alignment vertical="center"/>
      <protection hidden="1"/>
    </xf>
    <xf numFmtId="1" fontId="2" fillId="0" borderId="4" xfId="1" applyNumberForma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12" fillId="0" borderId="0" xfId="0" applyFont="1" applyAlignment="1">
      <alignment horizontal="center" vertical="center"/>
    </xf>
    <xf numFmtId="0" fontId="23" fillId="2" borderId="0" xfId="2" applyFont="1" applyFill="1" applyAlignment="1">
      <alignment vertical="center"/>
    </xf>
    <xf numFmtId="0" fontId="14" fillId="2" borderId="0" xfId="2" applyFill="1" applyAlignment="1">
      <alignment vertical="center"/>
    </xf>
    <xf numFmtId="0" fontId="14" fillId="0" borderId="0" xfId="2" applyAlignment="1">
      <alignment horizontal="center" vertical="center"/>
    </xf>
    <xf numFmtId="0" fontId="24" fillId="0" borderId="0" xfId="2" applyFont="1" applyAlignment="1">
      <alignment horizontal="center" vertical="center"/>
    </xf>
    <xf numFmtId="0" fontId="25" fillId="0" borderId="0" xfId="2" applyFont="1" applyAlignment="1">
      <alignment vertical="center"/>
    </xf>
    <xf numFmtId="2" fontId="14" fillId="0" borderId="0" xfId="2" applyNumberFormat="1" applyAlignment="1">
      <alignment vertical="center"/>
    </xf>
    <xf numFmtId="0" fontId="0" fillId="0" borderId="0" xfId="2" applyFont="1" applyAlignment="1">
      <alignment vertical="center"/>
    </xf>
    <xf numFmtId="1" fontId="24" fillId="0" borderId="0" xfId="2" applyNumberFormat="1" applyFont="1" applyAlignment="1">
      <alignment horizontal="center" vertical="center"/>
    </xf>
    <xf numFmtId="0" fontId="15" fillId="0" borderId="0" xfId="2" applyFont="1" applyAlignment="1">
      <alignment vertical="center"/>
    </xf>
    <xf numFmtId="0" fontId="26" fillId="0" borderId="0" xfId="2" applyFont="1" applyAlignment="1">
      <alignment horizontal="right" vertical="center"/>
    </xf>
    <xf numFmtId="1" fontId="26" fillId="0" borderId="0" xfId="2" applyNumberFormat="1" applyFont="1" applyAlignment="1">
      <alignment vertical="center"/>
    </xf>
    <xf numFmtId="0" fontId="15" fillId="0" borderId="0" xfId="2" applyFont="1" applyAlignment="1">
      <alignment horizontal="center" vertical="center"/>
    </xf>
    <xf numFmtId="0" fontId="15" fillId="5" borderId="9" xfId="2" applyFont="1" applyFill="1" applyBorder="1" applyAlignment="1">
      <alignment horizontal="center" vertical="center"/>
    </xf>
    <xf numFmtId="0" fontId="15" fillId="5" borderId="14" xfId="2" applyFont="1" applyFill="1" applyBorder="1" applyAlignment="1">
      <alignment horizontal="center" vertical="center"/>
    </xf>
    <xf numFmtId="0" fontId="15" fillId="5" borderId="4" xfId="2" applyFont="1" applyFill="1" applyBorder="1" applyAlignment="1">
      <alignment horizontal="center" vertical="center"/>
    </xf>
    <xf numFmtId="0" fontId="15" fillId="5" borderId="6" xfId="2" applyFont="1" applyFill="1" applyBorder="1" applyAlignment="1">
      <alignment horizontal="center" vertical="center"/>
    </xf>
    <xf numFmtId="0" fontId="29" fillId="5" borderId="6" xfId="2" applyFont="1" applyFill="1" applyBorder="1" applyAlignment="1">
      <alignment horizontal="center" vertical="center"/>
    </xf>
    <xf numFmtId="0" fontId="15" fillId="5" borderId="8" xfId="2" applyFont="1" applyFill="1" applyBorder="1" applyAlignment="1">
      <alignment horizontal="center" vertical="center"/>
    </xf>
    <xf numFmtId="0" fontId="15" fillId="5" borderId="5" xfId="2" applyFont="1" applyFill="1" applyBorder="1" applyAlignment="1">
      <alignment horizontal="center" vertical="center"/>
    </xf>
    <xf numFmtId="0" fontId="15" fillId="5" borderId="15" xfId="2" applyFont="1" applyFill="1" applyBorder="1" applyAlignment="1">
      <alignment horizontal="center" vertical="center"/>
    </xf>
    <xf numFmtId="0" fontId="15" fillId="5" borderId="1" xfId="2" applyFont="1" applyFill="1" applyBorder="1" applyAlignment="1">
      <alignment horizontal="center" vertical="center"/>
    </xf>
    <xf numFmtId="0" fontId="15" fillId="5" borderId="0" xfId="2" applyFont="1" applyFill="1" applyAlignment="1">
      <alignment horizontal="center" vertical="center"/>
    </xf>
    <xf numFmtId="0" fontId="14" fillId="0" borderId="4" xfId="2" applyBorder="1" applyAlignment="1">
      <alignment horizontal="center" vertical="center"/>
    </xf>
    <xf numFmtId="0" fontId="15" fillId="0" borderId="5" xfId="2" applyFont="1" applyBorder="1" applyAlignment="1">
      <alignment horizontal="center" vertical="center"/>
    </xf>
    <xf numFmtId="0" fontId="14" fillId="0" borderId="1" xfId="2" applyBorder="1" applyAlignment="1">
      <alignment horizontal="center" vertical="center"/>
    </xf>
    <xf numFmtId="2" fontId="14" fillId="0" borderId="4" xfId="2" applyNumberFormat="1" applyBorder="1" applyAlignment="1">
      <alignment horizontal="center" vertical="center"/>
    </xf>
    <xf numFmtId="0" fontId="15" fillId="0" borderId="4" xfId="2" applyFont="1" applyBorder="1" applyAlignment="1">
      <alignment horizontal="center" vertical="center"/>
    </xf>
    <xf numFmtId="1" fontId="14" fillId="0" borderId="4" xfId="2" applyNumberFormat="1" applyBorder="1" applyAlignment="1">
      <alignment horizontal="center" vertical="center"/>
    </xf>
    <xf numFmtId="0" fontId="15" fillId="0" borderId="1" xfId="2" applyFont="1" applyBorder="1" applyAlignment="1">
      <alignment horizontal="center" vertical="center"/>
    </xf>
    <xf numFmtId="2" fontId="15" fillId="0" borderId="4" xfId="2" applyNumberFormat="1" applyFont="1" applyBorder="1" applyAlignment="1">
      <alignment horizontal="center" vertical="center"/>
    </xf>
    <xf numFmtId="2" fontId="14" fillId="0" borderId="6" xfId="2" applyNumberFormat="1" applyBorder="1" applyAlignment="1">
      <alignment horizontal="center" vertical="center"/>
    </xf>
    <xf numFmtId="0" fontId="15" fillId="0" borderId="0" xfId="2" applyFont="1" applyAlignment="1">
      <alignment horizontal="right" vertical="center"/>
    </xf>
    <xf numFmtId="0" fontId="20" fillId="0" borderId="0" xfId="2" applyFont="1" applyAlignment="1">
      <alignment horizontal="center" vertical="center"/>
    </xf>
    <xf numFmtId="2" fontId="14" fillId="0" borderId="7" xfId="2" applyNumberFormat="1" applyBorder="1" applyAlignment="1">
      <alignment horizontal="center" vertical="center"/>
    </xf>
    <xf numFmtId="2" fontId="15" fillId="0" borderId="0" xfId="2" applyNumberFormat="1" applyFont="1" applyAlignment="1">
      <alignment horizontal="center" vertical="center"/>
    </xf>
    <xf numFmtId="0" fontId="14" fillId="6" borderId="1" xfId="2" applyFill="1" applyBorder="1" applyAlignment="1">
      <alignment vertical="center"/>
    </xf>
    <xf numFmtId="0" fontId="14" fillId="6" borderId="2" xfId="2" applyFill="1" applyBorder="1" applyAlignment="1">
      <alignment vertical="center"/>
    </xf>
    <xf numFmtId="0" fontId="14" fillId="6" borderId="3" xfId="2" applyFill="1" applyBorder="1" applyAlignment="1">
      <alignment vertical="center"/>
    </xf>
    <xf numFmtId="0" fontId="14" fillId="7" borderId="4" xfId="2" applyFill="1" applyBorder="1" applyAlignment="1">
      <alignment vertical="center"/>
    </xf>
    <xf numFmtId="0" fontId="14" fillId="6" borderId="4" xfId="2" applyFill="1" applyBorder="1" applyAlignment="1">
      <alignment vertical="center"/>
    </xf>
    <xf numFmtId="166" fontId="14" fillId="7" borderId="4" xfId="2" applyNumberFormat="1" applyFill="1" applyBorder="1" applyAlignment="1">
      <alignment horizontal="center" vertical="center"/>
    </xf>
    <xf numFmtId="0" fontId="14" fillId="7" borderId="4" xfId="2" applyFill="1" applyBorder="1" applyAlignment="1">
      <alignment horizontal="center" vertical="center"/>
    </xf>
    <xf numFmtId="0" fontId="14" fillId="6" borderId="4" xfId="2" applyFill="1" applyBorder="1" applyAlignment="1">
      <alignment horizontal="center" vertical="center"/>
    </xf>
    <xf numFmtId="165" fontId="14" fillId="7" borderId="4" xfId="2" applyNumberFormat="1" applyFill="1" applyBorder="1" applyAlignment="1">
      <alignment horizontal="center" vertical="center"/>
    </xf>
    <xf numFmtId="0" fontId="14" fillId="7" borderId="6" xfId="2" applyFill="1" applyBorder="1" applyAlignment="1">
      <alignment horizontal="center" vertical="center"/>
    </xf>
    <xf numFmtId="0" fontId="14" fillId="7" borderId="1" xfId="2" applyFill="1" applyBorder="1" applyAlignment="1">
      <alignment horizontal="center" vertical="center"/>
    </xf>
    <xf numFmtId="165" fontId="20" fillId="7" borderId="16" xfId="2" applyNumberFormat="1" applyFont="1" applyFill="1" applyBorder="1" applyAlignment="1">
      <alignment horizontal="center" vertical="center"/>
    </xf>
    <xf numFmtId="0" fontId="14" fillId="6" borderId="14" xfId="2" applyFill="1" applyBorder="1" applyAlignment="1">
      <alignment horizontal="center" vertical="center"/>
    </xf>
    <xf numFmtId="0" fontId="14" fillId="6" borderId="8" xfId="2" applyFill="1" applyBorder="1" applyAlignment="1">
      <alignment horizontal="center" vertical="center"/>
    </xf>
    <xf numFmtId="165" fontId="20" fillId="6" borderId="16" xfId="2" applyNumberFormat="1" applyFont="1" applyFill="1" applyBorder="1" applyAlignment="1">
      <alignment horizontal="center" vertical="center"/>
    </xf>
    <xf numFmtId="0" fontId="14" fillId="6" borderId="3" xfId="2" applyFill="1" applyBorder="1" applyAlignment="1">
      <alignment horizontal="center" vertical="center"/>
    </xf>
    <xf numFmtId="0" fontId="14" fillId="6" borderId="5" xfId="2" applyFill="1" applyBorder="1" applyAlignment="1">
      <alignment horizontal="center" vertical="center"/>
    </xf>
    <xf numFmtId="165" fontId="14" fillId="6" borderId="4" xfId="2" applyNumberFormat="1" applyFill="1" applyBorder="1" applyAlignment="1">
      <alignment horizontal="center" vertical="center"/>
    </xf>
    <xf numFmtId="0" fontId="14" fillId="0" borderId="0" xfId="2" applyAlignment="1">
      <alignment horizontal="left" vertical="center"/>
    </xf>
    <xf numFmtId="0" fontId="12" fillId="0" borderId="0" xfId="0" applyFont="1"/>
    <xf numFmtId="0" fontId="37" fillId="0" borderId="0" xfId="4" applyProtection="1"/>
    <xf numFmtId="0" fontId="36" fillId="8" borderId="0" xfId="0" applyFont="1" applyFill="1"/>
    <xf numFmtId="0" fontId="36" fillId="8" borderId="0" xfId="0" applyFont="1" applyFill="1" applyAlignment="1">
      <alignment horizontal="center" vertical="center"/>
    </xf>
    <xf numFmtId="0" fontId="39" fillId="8" borderId="0" xfId="0" applyFont="1" applyFill="1" applyAlignment="1">
      <alignment horizontal="center"/>
    </xf>
    <xf numFmtId="0" fontId="41" fillId="0" borderId="0" xfId="0" applyFont="1" applyAlignment="1">
      <alignment horizontal="left" vertical="center"/>
    </xf>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0" fillId="0" borderId="12" xfId="0"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vertical="center"/>
    </xf>
    <xf numFmtId="14" fontId="0" fillId="0" borderId="0" xfId="0" applyNumberFormat="1" applyAlignment="1">
      <alignment horizontal="center" vertical="center"/>
    </xf>
    <xf numFmtId="0" fontId="0" fillId="0" borderId="27" xfId="0" applyBorder="1" applyAlignment="1">
      <alignment horizontal="center" vertical="center"/>
    </xf>
    <xf numFmtId="2" fontId="49" fillId="9" borderId="18" xfId="6" applyNumberFormat="1" applyBorder="1" applyAlignment="1" applyProtection="1">
      <alignment vertical="center"/>
    </xf>
    <xf numFmtId="2" fontId="49" fillId="9" borderId="27" xfId="6" applyNumberFormat="1" applyBorder="1" applyAlignment="1" applyProtection="1">
      <alignment vertical="center"/>
    </xf>
    <xf numFmtId="2" fontId="0" fillId="0" borderId="0" xfId="0" applyNumberFormat="1" applyAlignment="1">
      <alignment horizontal="center" vertical="center"/>
    </xf>
    <xf numFmtId="164" fontId="0" fillId="0" borderId="0" xfId="0" applyNumberFormat="1" applyAlignment="1">
      <alignment horizontal="center" vertical="center"/>
    </xf>
    <xf numFmtId="0" fontId="11" fillId="0" borderId="0" xfId="0" applyFont="1" applyAlignment="1">
      <alignment horizontal="center" vertical="center"/>
    </xf>
    <xf numFmtId="0" fontId="60" fillId="0" borderId="0" xfId="0" applyFont="1" applyAlignment="1">
      <alignment vertical="center"/>
    </xf>
    <xf numFmtId="0" fontId="60" fillId="0" borderId="0" xfId="0" applyFont="1" applyAlignment="1">
      <alignment vertical="center" wrapText="1"/>
    </xf>
    <xf numFmtId="0" fontId="60" fillId="0" borderId="0" xfId="0" applyFont="1" applyAlignment="1">
      <alignment horizontal="center" vertical="center"/>
    </xf>
    <xf numFmtId="0" fontId="60" fillId="0" borderId="0" xfId="0" applyFont="1"/>
    <xf numFmtId="0" fontId="60" fillId="4" borderId="27" xfId="0" applyFont="1" applyFill="1" applyBorder="1" applyAlignment="1" applyProtection="1">
      <alignment horizontal="center" vertical="center"/>
      <protection locked="0"/>
    </xf>
    <xf numFmtId="0" fontId="63" fillId="0" borderId="0" xfId="0" applyFont="1" applyAlignment="1">
      <alignment vertical="center"/>
    </xf>
    <xf numFmtId="14" fontId="60" fillId="0" borderId="0" xfId="0" applyNumberFormat="1" applyFont="1" applyAlignment="1">
      <alignment horizontal="center" vertical="center"/>
    </xf>
    <xf numFmtId="0" fontId="60" fillId="0" borderId="12" xfId="0" applyFont="1" applyBorder="1" applyAlignment="1">
      <alignment horizontal="center" vertical="center"/>
    </xf>
    <xf numFmtId="0" fontId="64" fillId="0" borderId="0" xfId="0" applyFont="1" applyAlignment="1">
      <alignment horizontal="center" vertical="center"/>
    </xf>
    <xf numFmtId="0" fontId="0" fillId="4" borderId="27" xfId="0" applyFill="1" applyBorder="1" applyAlignment="1" applyProtection="1">
      <alignment horizontal="center" vertical="center"/>
      <protection locked="0"/>
    </xf>
    <xf numFmtId="9" fontId="0" fillId="4" borderId="27" xfId="0" applyNumberFormat="1" applyFill="1" applyBorder="1" applyAlignment="1" applyProtection="1">
      <alignment horizontal="center" vertical="center"/>
      <protection locked="0"/>
    </xf>
    <xf numFmtId="164" fontId="0" fillId="4" borderId="27" xfId="0" applyNumberFormat="1" applyFill="1" applyBorder="1" applyAlignment="1" applyProtection="1">
      <alignment horizontal="center" vertical="center"/>
      <protection locked="0"/>
    </xf>
    <xf numFmtId="0" fontId="68" fillId="0" borderId="0" xfId="0" applyFont="1" applyAlignment="1">
      <alignment horizontal="right" vertical="center"/>
    </xf>
    <xf numFmtId="0" fontId="64" fillId="0" borderId="0" xfId="0" applyFont="1" applyAlignment="1">
      <alignment horizontal="right" vertical="center"/>
    </xf>
    <xf numFmtId="0" fontId="68" fillId="0" borderId="0" xfId="0" applyFont="1" applyAlignment="1">
      <alignment horizontal="center" vertical="center"/>
    </xf>
    <xf numFmtId="0" fontId="60" fillId="0" borderId="0" xfId="0" applyFont="1" applyAlignment="1">
      <alignment horizontal="justify" vertical="justify" wrapText="1"/>
    </xf>
    <xf numFmtId="0" fontId="31" fillId="0" borderId="0" xfId="0" applyFont="1"/>
    <xf numFmtId="11" fontId="20" fillId="0" borderId="16" xfId="2" applyNumberFormat="1" applyFont="1" applyBorder="1" applyAlignment="1">
      <alignment horizontal="center" vertical="center"/>
    </xf>
    <xf numFmtId="11" fontId="33" fillId="0" borderId="16" xfId="2" applyNumberFormat="1" applyFont="1" applyBorder="1" applyAlignment="1">
      <alignment horizontal="center" vertical="center"/>
    </xf>
    <xf numFmtId="11" fontId="15" fillId="0" borderId="3" xfId="2" applyNumberFormat="1" applyFont="1" applyBorder="1" applyAlignment="1">
      <alignment horizontal="center" vertical="center"/>
    </xf>
    <xf numFmtId="11" fontId="15" fillId="0" borderId="4" xfId="2" applyNumberFormat="1" applyFont="1" applyBorder="1" applyAlignment="1">
      <alignment horizontal="center" vertical="center"/>
    </xf>
    <xf numFmtId="11" fontId="14" fillId="0" borderId="2" xfId="2" applyNumberFormat="1" applyBorder="1" applyAlignment="1">
      <alignment horizontal="center" vertical="center"/>
    </xf>
    <xf numFmtId="11" fontId="14" fillId="0" borderId="2" xfId="2" applyNumberFormat="1" applyBorder="1" applyAlignment="1">
      <alignment vertical="center"/>
    </xf>
    <xf numFmtId="11" fontId="0" fillId="0" borderId="0" xfId="0" applyNumberFormat="1" applyAlignment="1">
      <alignment horizontal="center" vertical="center"/>
    </xf>
    <xf numFmtId="0" fontId="43" fillId="5" borderId="0" xfId="0" applyFont="1" applyFill="1" applyAlignment="1">
      <alignment horizontal="left" vertical="center"/>
    </xf>
    <xf numFmtId="0" fontId="18" fillId="0" borderId="0" xfId="0" applyFont="1" applyAlignment="1">
      <alignment vertical="center"/>
    </xf>
    <xf numFmtId="0" fontId="18" fillId="5" borderId="0" xfId="0" applyFont="1" applyFill="1" applyAlignment="1">
      <alignment vertical="center"/>
    </xf>
    <xf numFmtId="0" fontId="57" fillId="0" borderId="0" xfId="0" applyFont="1" applyAlignment="1">
      <alignment vertical="center"/>
    </xf>
    <xf numFmtId="0" fontId="58" fillId="0" borderId="0" xfId="0" applyFont="1" applyAlignment="1">
      <alignment horizontal="center" vertical="center"/>
    </xf>
    <xf numFmtId="0" fontId="18" fillId="0" borderId="0" xfId="0" applyFont="1" applyAlignment="1">
      <alignment horizontal="center" vertical="center"/>
    </xf>
    <xf numFmtId="0" fontId="56" fillId="0" borderId="0" xfId="0" applyFont="1" applyAlignment="1">
      <alignment vertical="center"/>
    </xf>
    <xf numFmtId="0" fontId="58" fillId="5" borderId="0" xfId="0" applyFont="1" applyFill="1" applyAlignment="1">
      <alignment vertical="center"/>
    </xf>
    <xf numFmtId="0" fontId="18" fillId="0" borderId="0" xfId="0" applyFont="1"/>
    <xf numFmtId="0" fontId="80" fillId="0" borderId="0" xfId="0" applyFont="1"/>
    <xf numFmtId="0" fontId="68" fillId="0" borderId="0" xfId="0" applyFont="1" applyAlignment="1">
      <alignment vertical="center"/>
    </xf>
    <xf numFmtId="0" fontId="64" fillId="0" borderId="32" xfId="0" applyFont="1" applyBorder="1" applyAlignment="1">
      <alignment horizontal="center" vertical="center"/>
    </xf>
    <xf numFmtId="0" fontId="64" fillId="0" borderId="32" xfId="0" applyFont="1" applyBorder="1" applyAlignment="1">
      <alignment vertical="center"/>
    </xf>
    <xf numFmtId="0" fontId="67" fillId="0" borderId="33" xfId="0" applyFont="1" applyBorder="1" applyAlignment="1">
      <alignment vertical="center"/>
    </xf>
    <xf numFmtId="0" fontId="67" fillId="0" borderId="11" xfId="0" applyFont="1" applyBorder="1" applyAlignment="1">
      <alignment vertical="center"/>
    </xf>
    <xf numFmtId="0" fontId="67" fillId="0" borderId="34" xfId="0" applyFont="1" applyBorder="1" applyAlignment="1">
      <alignment vertical="center"/>
    </xf>
    <xf numFmtId="0" fontId="67" fillId="0" borderId="0" xfId="0" applyFont="1" applyAlignment="1">
      <alignment vertical="center"/>
    </xf>
    <xf numFmtId="0" fontId="67" fillId="0" borderId="32" xfId="0" applyFont="1" applyBorder="1" applyAlignment="1">
      <alignment vertical="center"/>
    </xf>
    <xf numFmtId="0" fontId="74" fillId="0" borderId="0" xfId="0" applyFont="1" applyAlignment="1">
      <alignment vertical="center"/>
    </xf>
    <xf numFmtId="0" fontId="77" fillId="0" borderId="0" xfId="0" applyFont="1" applyAlignment="1">
      <alignment vertical="center"/>
    </xf>
    <xf numFmtId="0" fontId="76" fillId="0" borderId="0" xfId="0" applyFont="1" applyAlignment="1">
      <alignment vertical="center"/>
    </xf>
    <xf numFmtId="2" fontId="18" fillId="0" borderId="0" xfId="0" applyNumberFormat="1" applyFont="1" applyAlignment="1">
      <alignment vertical="center"/>
    </xf>
    <xf numFmtId="0" fontId="64" fillId="0" borderId="0" xfId="0" applyFont="1" applyAlignment="1">
      <alignment vertical="center"/>
    </xf>
    <xf numFmtId="2" fontId="45" fillId="0" borderId="0" xfId="0" applyNumberFormat="1" applyFont="1" applyAlignment="1">
      <alignment horizontal="center" vertical="center"/>
    </xf>
    <xf numFmtId="167" fontId="0" fillId="0" borderId="0" xfId="0" applyNumberFormat="1" applyAlignment="1">
      <alignment vertical="center"/>
    </xf>
    <xf numFmtId="2" fontId="0" fillId="0" borderId="0" xfId="0" applyNumberFormat="1"/>
    <xf numFmtId="0" fontId="42" fillId="8" borderId="0" xfId="0" applyFont="1" applyFill="1" applyAlignment="1">
      <alignment horizontal="center" vertical="center"/>
    </xf>
    <xf numFmtId="0" fontId="0" fillId="0" borderId="0" xfId="0" applyAlignment="1">
      <alignment horizontal="left" vertical="center" wrapText="1"/>
    </xf>
    <xf numFmtId="0" fontId="37" fillId="0" borderId="0" xfId="4" applyFill="1" applyAlignment="1" applyProtection="1">
      <alignment horizontal="left" vertical="center" wrapText="1"/>
    </xf>
    <xf numFmtId="0" fontId="0" fillId="0" borderId="0" xfId="0" applyAlignment="1">
      <alignment horizontal="left" wrapText="1"/>
    </xf>
    <xf numFmtId="0" fontId="36" fillId="8" borderId="0" xfId="0" applyFont="1" applyFill="1" applyAlignment="1">
      <alignment horizontal="center" wrapText="1"/>
    </xf>
    <xf numFmtId="0" fontId="38" fillId="0" borderId="0" xfId="0" applyFont="1" applyAlignment="1" applyProtection="1">
      <alignment horizontal="center" vertical="center"/>
      <protection locked="0"/>
    </xf>
    <xf numFmtId="0" fontId="40" fillId="8" borderId="0" xfId="0" applyFont="1" applyFill="1" applyAlignment="1">
      <alignment horizontal="center" wrapText="1"/>
    </xf>
    <xf numFmtId="0" fontId="0" fillId="0" borderId="0" xfId="0" applyAlignment="1">
      <alignment horizontal="center"/>
    </xf>
    <xf numFmtId="0" fontId="35" fillId="0" borderId="17" xfId="3" applyAlignment="1">
      <alignment horizontal="justify" vertical="justify" wrapText="1"/>
    </xf>
    <xf numFmtId="0" fontId="60" fillId="0" borderId="0" xfId="0" applyFont="1" applyAlignment="1">
      <alignment horizontal="center" vertical="center"/>
    </xf>
    <xf numFmtId="0" fontId="43" fillId="5" borderId="0" xfId="0" applyFont="1" applyFill="1" applyAlignment="1">
      <alignment horizontal="left" vertical="center"/>
    </xf>
    <xf numFmtId="0" fontId="45" fillId="5" borderId="0" xfId="0" applyFont="1" applyFill="1" applyAlignment="1">
      <alignment horizontal="left" vertical="center"/>
    </xf>
    <xf numFmtId="0" fontId="64" fillId="0" borderId="0" xfId="0" applyFont="1" applyAlignment="1">
      <alignment horizontal="center" vertical="center"/>
    </xf>
    <xf numFmtId="0" fontId="64" fillId="0" borderId="31" xfId="0" applyFont="1" applyBorder="1" applyAlignment="1">
      <alignment horizontal="center" vertical="center"/>
    </xf>
    <xf numFmtId="0" fontId="60" fillId="4" borderId="18" xfId="0" applyFont="1" applyFill="1" applyBorder="1" applyAlignment="1" applyProtection="1">
      <alignment horizontal="left" vertical="center"/>
      <protection locked="0"/>
    </xf>
    <xf numFmtId="0" fontId="60" fillId="4" borderId="19" xfId="0" applyFont="1" applyFill="1" applyBorder="1" applyAlignment="1" applyProtection="1">
      <alignment horizontal="left" vertical="center"/>
      <protection locked="0"/>
    </xf>
    <xf numFmtId="0" fontId="60" fillId="4" borderId="20" xfId="0" applyFont="1" applyFill="1" applyBorder="1" applyAlignment="1" applyProtection="1">
      <alignment horizontal="left" vertical="center"/>
      <protection locked="0"/>
    </xf>
    <xf numFmtId="0" fontId="60" fillId="4" borderId="21" xfId="0" applyFont="1" applyFill="1" applyBorder="1" applyAlignment="1" applyProtection="1">
      <alignment horizontal="left" vertical="top" wrapText="1"/>
      <protection locked="0"/>
    </xf>
    <xf numFmtId="0" fontId="60" fillId="4" borderId="22" xfId="0" applyFont="1" applyFill="1" applyBorder="1" applyAlignment="1" applyProtection="1">
      <alignment horizontal="left" vertical="top" wrapText="1"/>
      <protection locked="0"/>
    </xf>
    <xf numFmtId="0" fontId="60" fillId="4" borderId="23" xfId="0" applyFont="1" applyFill="1" applyBorder="1" applyAlignment="1" applyProtection="1">
      <alignment horizontal="left" vertical="top" wrapText="1"/>
      <protection locked="0"/>
    </xf>
    <xf numFmtId="0" fontId="60" fillId="4" borderId="24" xfId="0" applyFont="1" applyFill="1" applyBorder="1" applyAlignment="1" applyProtection="1">
      <alignment horizontal="left" vertical="top" wrapText="1"/>
      <protection locked="0"/>
    </xf>
    <xf numFmtId="0" fontId="60" fillId="4" borderId="25" xfId="0" applyFont="1" applyFill="1" applyBorder="1" applyAlignment="1" applyProtection="1">
      <alignment horizontal="left" vertical="top" wrapText="1"/>
      <protection locked="0"/>
    </xf>
    <xf numFmtId="0" fontId="60" fillId="4" borderId="26" xfId="0" applyFont="1" applyFill="1" applyBorder="1" applyAlignment="1" applyProtection="1">
      <alignment horizontal="left" vertical="top" wrapText="1"/>
      <protection locked="0"/>
    </xf>
    <xf numFmtId="0" fontId="15" fillId="0" borderId="12" xfId="0" applyFont="1" applyBorder="1" applyAlignment="1">
      <alignment horizontal="center" vertical="center"/>
    </xf>
    <xf numFmtId="0" fontId="16" fillId="3" borderId="0" xfId="0" applyFont="1" applyFill="1" applyAlignment="1" applyProtection="1">
      <alignment horizontal="center" vertical="center"/>
      <protection locked="0"/>
    </xf>
    <xf numFmtId="170" fontId="60" fillId="0" borderId="25" xfId="0" applyNumberFormat="1" applyFont="1" applyBorder="1" applyAlignment="1" applyProtection="1">
      <alignment horizontal="left" vertical="center"/>
      <protection locked="0"/>
    </xf>
    <xf numFmtId="0" fontId="60" fillId="3" borderId="0" xfId="0" applyFont="1" applyFill="1" applyAlignment="1" applyProtection="1">
      <alignment horizontal="center" vertical="center"/>
      <protection locked="0"/>
    </xf>
    <xf numFmtId="0" fontId="16" fillId="3" borderId="0" xfId="0" applyFont="1" applyFill="1" applyAlignment="1" applyProtection="1">
      <alignment horizontal="center" vertical="center" wrapText="1"/>
      <protection locked="0"/>
    </xf>
    <xf numFmtId="0" fontId="67" fillId="0" borderId="0" xfId="0" applyFont="1" applyAlignment="1">
      <alignment horizontal="center" vertical="center"/>
    </xf>
    <xf numFmtId="0" fontId="68" fillId="0" borderId="31" xfId="0" applyFont="1" applyBorder="1" applyAlignment="1">
      <alignment horizontal="center" vertical="center"/>
    </xf>
    <xf numFmtId="168" fontId="49" fillId="9" borderId="18" xfId="6" applyNumberFormat="1" applyBorder="1" applyAlignment="1" applyProtection="1">
      <alignment horizontal="center" vertical="center"/>
    </xf>
    <xf numFmtId="168" fontId="49" fillId="9" borderId="20" xfId="6" applyNumberFormat="1" applyBorder="1" applyAlignment="1" applyProtection="1">
      <alignment horizontal="center" vertical="center"/>
    </xf>
    <xf numFmtId="169" fontId="0" fillId="4" borderId="18" xfId="0" applyNumberFormat="1" applyFill="1" applyBorder="1" applyAlignment="1" applyProtection="1">
      <alignment horizontal="center" vertical="center"/>
      <protection locked="0"/>
    </xf>
    <xf numFmtId="169" fontId="0" fillId="4" borderId="20" xfId="0" applyNumberFormat="1" applyFill="1" applyBorder="1" applyAlignment="1" applyProtection="1">
      <alignment horizontal="center" vertical="center"/>
      <protection locked="0"/>
    </xf>
    <xf numFmtId="170" fontId="0" fillId="0" borderId="0" xfId="0" applyNumberFormat="1" applyAlignment="1">
      <alignment horizontal="left" vertical="center"/>
    </xf>
    <xf numFmtId="0" fontId="49" fillId="9" borderId="18" xfId="6" applyNumberFormat="1" applyBorder="1" applyAlignment="1" applyProtection="1">
      <alignment horizontal="center" vertical="center"/>
    </xf>
    <xf numFmtId="0" fontId="49" fillId="9" borderId="19" xfId="6" applyNumberFormat="1" applyBorder="1" applyAlignment="1" applyProtection="1">
      <alignment horizontal="center" vertical="center"/>
    </xf>
    <xf numFmtId="0" fontId="49" fillId="9" borderId="20" xfId="6" applyNumberFormat="1" applyBorder="1" applyAlignment="1" applyProtection="1">
      <alignment horizontal="center" vertical="center"/>
    </xf>
    <xf numFmtId="0" fontId="49" fillId="9" borderId="18" xfId="6" applyNumberFormat="1" applyBorder="1" applyAlignment="1" applyProtection="1">
      <alignment horizontal="left" vertical="center"/>
    </xf>
    <xf numFmtId="0" fontId="49" fillId="9" borderId="19" xfId="6" applyNumberFormat="1" applyBorder="1" applyAlignment="1" applyProtection="1">
      <alignment horizontal="left" vertical="center"/>
    </xf>
    <xf numFmtId="0" fontId="49" fillId="9" borderId="20" xfId="6" applyNumberFormat="1" applyBorder="1" applyAlignment="1" applyProtection="1">
      <alignment horizontal="left" vertical="center"/>
    </xf>
    <xf numFmtId="0" fontId="49" fillId="9" borderId="21" xfId="6" applyNumberFormat="1" applyBorder="1" applyAlignment="1" applyProtection="1">
      <alignment horizontal="left" vertical="top" wrapText="1"/>
    </xf>
    <xf numFmtId="0" fontId="49" fillId="9" borderId="22" xfId="6" applyNumberFormat="1" applyBorder="1" applyAlignment="1" applyProtection="1">
      <alignment horizontal="left" vertical="top" wrapText="1"/>
    </xf>
    <xf numFmtId="0" fontId="49" fillId="9" borderId="23" xfId="6" applyNumberFormat="1" applyBorder="1" applyAlignment="1" applyProtection="1">
      <alignment horizontal="left" vertical="top" wrapText="1"/>
    </xf>
    <xf numFmtId="0" fontId="49" fillId="9" borderId="24" xfId="6" applyNumberFormat="1" applyBorder="1" applyAlignment="1" applyProtection="1">
      <alignment horizontal="left" vertical="top" wrapText="1"/>
    </xf>
    <xf numFmtId="0" fontId="49" fillId="9" borderId="25" xfId="6" applyNumberFormat="1" applyBorder="1" applyAlignment="1" applyProtection="1">
      <alignment horizontal="left" vertical="top" wrapText="1"/>
    </xf>
    <xf numFmtId="0" fontId="49" fillId="9" borderId="26" xfId="6" applyNumberFormat="1" applyBorder="1" applyAlignment="1" applyProtection="1">
      <alignment horizontal="left" vertical="top" wrapText="1"/>
    </xf>
    <xf numFmtId="2" fontId="0" fillId="0" borderId="0" xfId="0" applyNumberFormat="1" applyAlignment="1">
      <alignment horizontal="center" vertical="center"/>
    </xf>
    <xf numFmtId="0" fontId="43" fillId="5" borderId="0" xfId="0" applyFont="1" applyFill="1" applyAlignment="1">
      <alignment horizontal="left" vertical="center" wrapText="1"/>
    </xf>
    <xf numFmtId="0" fontId="18" fillId="0" borderId="0" xfId="0" applyFont="1" applyAlignment="1">
      <alignment horizontal="center" vertical="center"/>
    </xf>
    <xf numFmtId="0" fontId="79" fillId="0" borderId="0" xfId="0" applyFont="1" applyAlignment="1">
      <alignment horizontal="center" vertical="center"/>
    </xf>
    <xf numFmtId="0" fontId="41" fillId="5" borderId="0" xfId="0" applyFont="1" applyFill="1" applyAlignment="1">
      <alignment horizontal="left" vertical="center" wrapText="1"/>
    </xf>
    <xf numFmtId="0" fontId="53" fillId="0" borderId="0" xfId="0" applyFont="1" applyAlignment="1">
      <alignment horizontal="left" vertical="center" wrapText="1"/>
    </xf>
    <xf numFmtId="170" fontId="58" fillId="0" borderId="0" xfId="0" applyNumberFormat="1" applyFont="1" applyAlignment="1">
      <alignment horizontal="right" vertical="center"/>
    </xf>
    <xf numFmtId="0" fontId="59" fillId="0" borderId="0" xfId="0" applyFont="1" applyAlignment="1">
      <alignment horizontal="right" vertical="center"/>
    </xf>
    <xf numFmtId="0" fontId="58" fillId="0" borderId="0" xfId="0" applyFont="1" applyAlignment="1">
      <alignment horizontal="justify" vertical="top" wrapText="1"/>
    </xf>
    <xf numFmtId="0" fontId="43" fillId="0" borderId="0" xfId="0" applyFont="1" applyAlignment="1">
      <alignment horizontal="center" vertical="center" wrapText="1"/>
    </xf>
    <xf numFmtId="0" fontId="58" fillId="0" borderId="0" xfId="0" applyFont="1" applyAlignment="1">
      <alignment horizontal="center" vertical="center"/>
    </xf>
    <xf numFmtId="0" fontId="64" fillId="0" borderId="11" xfId="0" applyFont="1" applyBorder="1" applyAlignment="1">
      <alignment horizontal="center" vertical="center"/>
    </xf>
    <xf numFmtId="0" fontId="18" fillId="0" borderId="3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justify" wrapText="1"/>
    </xf>
    <xf numFmtId="0" fontId="81" fillId="0" borderId="0" xfId="0" applyFont="1" applyAlignment="1">
      <alignment horizontal="left" vertical="center"/>
    </xf>
    <xf numFmtId="0" fontId="68" fillId="0" borderId="0" xfId="0" applyFont="1" applyAlignment="1">
      <alignment horizontal="center" vertical="center"/>
    </xf>
    <xf numFmtId="0" fontId="15" fillId="5" borderId="30" xfId="2" applyFont="1" applyFill="1" applyBorder="1" applyAlignment="1">
      <alignment horizontal="center" vertical="center"/>
    </xf>
    <xf numFmtId="0" fontId="15" fillId="5" borderId="15" xfId="2" applyFont="1" applyFill="1" applyBorder="1" applyAlignment="1">
      <alignment horizontal="center" vertical="center"/>
    </xf>
    <xf numFmtId="0" fontId="35" fillId="0" borderId="17" xfId="3" applyAlignment="1">
      <alignment horizontal="center" vertical="center"/>
    </xf>
    <xf numFmtId="0" fontId="15" fillId="5" borderId="9" xfId="2" applyFont="1" applyFill="1" applyBorder="1" applyAlignment="1">
      <alignment horizontal="center" vertical="center"/>
    </xf>
    <xf numFmtId="0" fontId="15" fillId="5" borderId="14" xfId="2" applyFont="1" applyFill="1" applyBorder="1" applyAlignment="1">
      <alignment horizontal="center" vertical="center"/>
    </xf>
    <xf numFmtId="0" fontId="15" fillId="5" borderId="8" xfId="2" applyFont="1" applyFill="1" applyBorder="1" applyAlignment="1">
      <alignment horizontal="center" vertical="center"/>
    </xf>
    <xf numFmtId="0" fontId="15" fillId="5" borderId="10" xfId="2" applyFont="1" applyFill="1" applyBorder="1" applyAlignment="1">
      <alignment horizontal="center" vertical="center"/>
    </xf>
    <xf numFmtId="0" fontId="15" fillId="5" borderId="13" xfId="2" applyFont="1" applyFill="1" applyBorder="1" applyAlignment="1">
      <alignment horizontal="center" vertical="center"/>
    </xf>
    <xf numFmtId="0" fontId="15" fillId="5" borderId="4" xfId="2" applyFont="1" applyFill="1" applyBorder="1" applyAlignment="1">
      <alignment horizontal="center" vertical="center"/>
    </xf>
    <xf numFmtId="0" fontId="15" fillId="5" borderId="1" xfId="2" applyFont="1" applyFill="1" applyBorder="1" applyAlignment="1">
      <alignment horizontal="center" vertical="center"/>
    </xf>
    <xf numFmtId="0" fontId="15" fillId="5" borderId="11" xfId="2" applyFont="1" applyFill="1" applyBorder="1" applyAlignment="1">
      <alignment horizontal="center" vertical="center"/>
    </xf>
    <xf numFmtId="0" fontId="14" fillId="5" borderId="11" xfId="2" applyFill="1" applyBorder="1" applyAlignment="1">
      <alignment horizontal="center" vertical="center"/>
    </xf>
    <xf numFmtId="0" fontId="14" fillId="5" borderId="10" xfId="2" applyFill="1" applyBorder="1" applyAlignment="1">
      <alignment horizontal="center" vertical="center"/>
    </xf>
    <xf numFmtId="0" fontId="47" fillId="0" borderId="28" xfId="5" applyAlignment="1">
      <alignment horizontal="center" vertical="center"/>
    </xf>
    <xf numFmtId="0" fontId="2" fillId="0" borderId="11" xfId="1" applyBorder="1" applyAlignment="1" applyProtection="1">
      <alignment horizontal="center" vertical="center"/>
      <protection hidden="1"/>
    </xf>
    <xf numFmtId="0" fontId="2" fillId="0" borderId="0" xfId="1" applyAlignment="1" applyProtection="1">
      <alignment horizontal="center" vertical="center"/>
      <protection hidden="1"/>
    </xf>
    <xf numFmtId="0" fontId="1" fillId="0" borderId="0" xfId="0" applyFont="1" applyAlignment="1">
      <alignment horizontal="justify" vertical="justify" wrapText="1"/>
    </xf>
    <xf numFmtId="0" fontId="1" fillId="0" borderId="0" xfId="0" applyFont="1" applyAlignment="1">
      <alignment vertical="center"/>
    </xf>
    <xf numFmtId="2" fontId="1" fillId="0" borderId="0" xfId="0" applyNumberFormat="1" applyFont="1" applyAlignment="1">
      <alignment vertical="center"/>
    </xf>
    <xf numFmtId="0" fontId="1" fillId="0" borderId="11" xfId="0" applyFont="1" applyBorder="1" applyAlignment="1">
      <alignment horizontal="center" vertical="center"/>
    </xf>
    <xf numFmtId="0" fontId="1" fillId="0" borderId="0" xfId="0" applyFont="1" applyAlignment="1">
      <alignment horizontal="right" vertical="center"/>
    </xf>
    <xf numFmtId="171" fontId="1" fillId="0" borderId="0" xfId="0" applyNumberFormat="1" applyFont="1" applyAlignment="1">
      <alignment horizontal="right" vertical="center"/>
    </xf>
    <xf numFmtId="0" fontId="1" fillId="0" borderId="0" xfId="0" applyFont="1" applyAlignment="1">
      <alignment horizontal="center" vertical="center"/>
    </xf>
    <xf numFmtId="1" fontId="1" fillId="0" borderId="0" xfId="0" applyNumberFormat="1" applyFont="1" applyAlignment="1">
      <alignment horizontal="right" vertical="center"/>
    </xf>
    <xf numFmtId="164"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1" fillId="0" borderId="33" xfId="0" applyFont="1" applyBorder="1" applyAlignment="1">
      <alignment horizontal="center" vertical="center"/>
    </xf>
    <xf numFmtId="2" fontId="1" fillId="0" borderId="11" xfId="0" applyNumberFormat="1" applyFont="1" applyBorder="1" applyAlignment="1">
      <alignment horizontal="center" vertical="center"/>
    </xf>
    <xf numFmtId="0" fontId="1" fillId="0" borderId="11" xfId="0" applyFont="1" applyBorder="1" applyAlignment="1">
      <alignment horizontal="center" vertical="center"/>
    </xf>
    <xf numFmtId="2" fontId="1" fillId="0" borderId="34" xfId="0" applyNumberFormat="1" applyFont="1" applyBorder="1" applyAlignment="1">
      <alignment horizontal="center" vertical="center"/>
    </xf>
    <xf numFmtId="0" fontId="1" fillId="0" borderId="32" xfId="0" applyFont="1" applyBorder="1" applyAlignment="1">
      <alignment horizontal="center" vertical="center"/>
    </xf>
    <xf numFmtId="0" fontId="1" fillId="0" borderId="32" xfId="0" applyFont="1" applyBorder="1" applyAlignment="1">
      <alignment vertical="center"/>
    </xf>
    <xf numFmtId="0" fontId="1" fillId="0" borderId="11" xfId="0" applyFont="1" applyBorder="1" applyAlignment="1">
      <alignment horizontal="center" vertical="center" wrapText="1"/>
    </xf>
    <xf numFmtId="164" fontId="1" fillId="0" borderId="0" xfId="0" applyNumberFormat="1"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11" xfId="0" applyFont="1" applyBorder="1" applyAlignment="1">
      <alignment horizontal="right" vertical="center"/>
    </xf>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2" fontId="1" fillId="0" borderId="0" xfId="0" applyNumberFormat="1" applyFont="1" applyAlignment="1">
      <alignment horizontal="right" vertical="center"/>
    </xf>
    <xf numFmtId="171" fontId="1" fillId="0" borderId="0" xfId="0" applyNumberFormat="1" applyFont="1" applyAlignment="1">
      <alignment horizontal="center" vertical="center"/>
    </xf>
    <xf numFmtId="1" fontId="1" fillId="0" borderId="0" xfId="0" applyNumberFormat="1" applyFont="1" applyAlignment="1">
      <alignment horizontal="center" vertical="center"/>
    </xf>
    <xf numFmtId="2" fontId="1" fillId="0" borderId="0" xfId="0" applyNumberFormat="1" applyFont="1" applyAlignment="1">
      <alignment horizontal="center" vertical="center"/>
    </xf>
    <xf numFmtId="168" fontId="1" fillId="0" borderId="0" xfId="7" applyNumberFormat="1" applyFont="1" applyAlignment="1" applyProtection="1">
      <alignment horizontal="center" vertical="center"/>
    </xf>
    <xf numFmtId="0" fontId="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9" fontId="1" fillId="0" borderId="0" xfId="0" applyNumberFormat="1" applyFont="1" applyAlignment="1">
      <alignment horizontal="center" vertical="center"/>
    </xf>
    <xf numFmtId="9" fontId="1" fillId="0" borderId="0" xfId="7" applyFont="1" applyAlignment="1" applyProtection="1">
      <alignment horizontal="center" vertical="center"/>
    </xf>
  </cellXfs>
  <cellStyles count="8">
    <cellStyle name="Collegamento ipertestuale" xfId="4" builtinId="8"/>
    <cellStyle name="Normale" xfId="0" builtinId="0" customBuiltin="1"/>
    <cellStyle name="Normale 2" xfId="1" xr:uid="{00000000-0005-0000-0000-000001000000}"/>
    <cellStyle name="Normale 5" xfId="2" xr:uid="{667C620A-3BE7-44B7-B71C-43F69215C2ED}"/>
    <cellStyle name="Output" xfId="6" builtinId="21"/>
    <cellStyle name="Percentuale" xfId="7" builtinId="5"/>
    <cellStyle name="Titolo 2" xfId="5" builtinId="17"/>
    <cellStyle name="Titolo 3" xfId="3" builtinId="18"/>
  </cellStyles>
  <dxfs count="201">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numFmt numFmtId="0" formatCode="General"/>
    </dxf>
    <dxf>
      <numFmt numFmtId="0" formatCode="General"/>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numFmt numFmtId="15" formatCode="0.00E+00"/>
    </dxf>
    <dxf>
      <alignment horizontal="center" vertical="center" textRotation="0" wrapText="0" indent="0" justifyLastLine="0" shrinkToFit="0" readingOrder="0"/>
    </dxf>
    <dxf>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numFmt numFmtId="15" formatCode="0.00E+00"/>
    </dxf>
    <dxf>
      <alignment horizontal="center" vertical="center" textRotation="0" wrapText="0" indent="0" justifyLastLine="0" shrinkToFit="0" readingOrder="0"/>
    </dxf>
    <dxf>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border outline="0">
        <top style="thin">
          <color indexed="64"/>
        </top>
      </border>
    </dxf>
    <dxf>
      <numFmt numFmtId="15" formatCode="0.00E+00"/>
    </dxf>
    <dxf>
      <alignment horizontal="center" vertical="center" textRotation="0" wrapText="0" indent="0" justifyLastLine="0" shrinkToFit="0" readingOrder="0"/>
    </dxf>
    <dxf>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5" formatCode="0.00E+00"/>
      <alignment horizontal="center" vertical="center" textRotation="0" wrapText="0" indent="0" justifyLastLine="0" shrinkToFit="0" readingOrder="0"/>
    </dxf>
    <dxf>
      <border outline="0">
        <top style="thin">
          <color indexed="64"/>
        </top>
      </border>
    </dxf>
    <dxf>
      <numFmt numFmtId="15" formatCode="0.00E+00"/>
    </dxf>
    <dxf>
      <alignment horizontal="center" vertical="center" textRotation="0" wrapText="0" indent="0" justifyLastLine="0" shrinkToFit="0" readingOrder="0"/>
    </dxf>
    <dxf>
      <alignment horizontal="center" vertical="center" textRotation="0" wrapText="0" indent="0" justifyLastLine="0" shrinkToFit="0" readingOrder="0"/>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theme="1" tint="0.24994659260841701"/>
      </font>
      <numFmt numFmtId="2" formatCode="0.00"/>
      <fill>
        <patternFill>
          <bgColor theme="9" tint="0.59996337778862885"/>
        </patternFill>
      </fill>
      <border>
        <left style="thin">
          <color theme="0"/>
        </left>
        <right style="thin">
          <color theme="0"/>
        </right>
        <top style="thin">
          <color theme="0"/>
        </top>
        <bottom style="thin">
          <color theme="0"/>
        </bottom>
        <vertical/>
        <horizontal/>
      </border>
    </dxf>
    <dxf>
      <font>
        <b/>
        <i val="0"/>
        <color theme="1" tint="0.24994659260841701"/>
      </font>
      <numFmt numFmtId="2" formatCode="0.00"/>
      <fill>
        <patternFill>
          <bgColor theme="0" tint="-4.9989318521683403E-2"/>
        </patternFill>
      </fill>
      <border>
        <left style="thin">
          <color theme="0"/>
        </left>
        <right style="thin">
          <color theme="0"/>
        </right>
        <top style="thin">
          <color theme="0"/>
        </top>
        <bottom style="thin">
          <color theme="0"/>
        </bottom>
        <vertical/>
        <horizontal/>
      </border>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s>
  <tableStyles count="0" defaultTableStyle="TableStyleMedium9" defaultPivotStyle="PivotStyleLight16"/>
  <colors>
    <mruColors>
      <color rgb="FF000000"/>
      <color rgb="FF66CCFF"/>
      <color rgb="FFFF3300"/>
      <color rgb="FFFF0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microsoft.com/office/2006/relationships/vbaProject" Target="vbaProject.bin"/><Relationship Id="rId5" Type="http://schemas.openxmlformats.org/officeDocument/2006/relationships/worksheet" Target="worksheets/sheet5.xml"/><Relationship Id="rId15" Type="http://schemas.microsoft.com/office/2022/10/relationships/richValueRel" Target="richData/richValueRel.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5.png"/><Relationship Id="rId1" Type="http://schemas.openxmlformats.org/officeDocument/2006/relationships/image" Target="../media/image8.png"/><Relationship Id="rId5" Type="http://schemas.openxmlformats.org/officeDocument/2006/relationships/image" Target="../media/image11.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3</xdr:col>
      <xdr:colOff>1857376</xdr:colOff>
      <xdr:row>65</xdr:row>
      <xdr:rowOff>28575</xdr:rowOff>
    </xdr:from>
    <xdr:to>
      <xdr:col>3</xdr:col>
      <xdr:colOff>3714750</xdr:colOff>
      <xdr:row>67</xdr:row>
      <xdr:rowOff>123825</xdr:rowOff>
    </xdr:to>
    <xdr:sp macro="[0]!Accept_Click" textlink="">
      <xdr:nvSpPr>
        <xdr:cNvPr id="3" name="CasellaDiTesto 2">
          <a:extLst>
            <a:ext uri="{FF2B5EF4-FFF2-40B4-BE49-F238E27FC236}">
              <a16:creationId xmlns:a16="http://schemas.microsoft.com/office/drawing/2014/main" id="{00000000-0008-0000-0000-000003000000}"/>
            </a:ext>
          </a:extLst>
        </xdr:cNvPr>
        <xdr:cNvSpPr txBox="1"/>
      </xdr:nvSpPr>
      <xdr:spPr>
        <a:xfrm>
          <a:off x="4133851" y="2819400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fLocksWithSheet="0"/>
  </xdr:twoCellAnchor>
  <xdr:twoCellAnchor editAs="absolute">
    <xdr:from>
      <xdr:col>4</xdr:col>
      <xdr:colOff>1088970</xdr:colOff>
      <xdr:row>11</xdr:row>
      <xdr:rowOff>203837</xdr:rowOff>
    </xdr:from>
    <xdr:to>
      <xdr:col>5</xdr:col>
      <xdr:colOff>238125</xdr:colOff>
      <xdr:row>11</xdr:row>
      <xdr:rowOff>828674</xdr:rowOff>
    </xdr:to>
    <xdr:pic macro="[0]!VaiACella_Condizioni">
      <xdr:nvPicPr>
        <xdr:cNvPr id="4" name="Elemento grafico 4" descr="Frecce a zig zag con riempimento a tinta unita">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9322726" y="2359951"/>
          <a:ext cx="628647" cy="576000"/>
        </a:xfrm>
        <a:prstGeom prst="rect">
          <a:avLst/>
        </a:prstGeom>
      </xdr:spPr>
    </xdr:pic>
    <xdr:clientData fLocksWithSheet="0" fPrintsWithSheet="0"/>
  </xdr:twoCellAnchor>
  <xdr:twoCellAnchor editAs="oneCell">
    <xdr:from>
      <xdr:col>1</xdr:col>
      <xdr:colOff>28575</xdr:colOff>
      <xdr:row>0</xdr:row>
      <xdr:rowOff>133350</xdr:rowOff>
    </xdr:from>
    <xdr:to>
      <xdr:col>2</xdr:col>
      <xdr:colOff>1393650</xdr:colOff>
      <xdr:row>4</xdr:row>
      <xdr:rowOff>168221</xdr:rowOff>
    </xdr:to>
    <xdr:pic>
      <xdr:nvPicPr>
        <xdr:cNvPr id="6" name="Immagine 1">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l="7792" t="6154" r="5195" b="7679"/>
        <a:stretch/>
      </xdr:blipFill>
      <xdr:spPr>
        <a:xfrm>
          <a:off x="457200" y="133350"/>
          <a:ext cx="1797510" cy="772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335</xdr:colOff>
      <xdr:row>0</xdr:row>
      <xdr:rowOff>0</xdr:rowOff>
    </xdr:from>
    <xdr:to>
      <xdr:col>3</xdr:col>
      <xdr:colOff>1905</xdr:colOff>
      <xdr:row>2</xdr:row>
      <xdr:rowOff>2150</xdr:rowOff>
    </xdr:to>
    <xdr:pic macro="[0]!ExportPDF">
      <xdr:nvPicPr>
        <xdr:cNvPr id="5244" name="Picture 5243" descr="Download with solid fill">
          <a:extLst>
            <a:ext uri="{FF2B5EF4-FFF2-40B4-BE49-F238E27FC236}">
              <a16:creationId xmlns:a16="http://schemas.microsoft.com/office/drawing/2014/main" id="{00000000-0008-0000-0200-00007C140000}"/>
            </a:ext>
          </a:extLst>
        </xdr:cNvPr>
        <xdr:cNvPicPr preferRelativeResize="0">
          <a:picLocks noChangeAspect="1"/>
        </xdr:cNvPicPr>
      </xdr:nvPicPr>
      <xdr:blipFill>
        <a:blip xmlns:r="http://schemas.openxmlformats.org/officeDocument/2006/relationships" r:embed="rId1"/>
        <a:stretch>
          <a:fillRect/>
        </a:stretch>
      </xdr:blipFill>
      <xdr:spPr>
        <a:xfrm>
          <a:off x="1227155" y="0"/>
          <a:ext cx="582595" cy="582595"/>
        </a:xfrm>
        <a:prstGeom prst="rect">
          <a:avLst/>
        </a:prstGeom>
      </xdr:spPr>
    </xdr:pic>
    <xdr:clientData fPrintsWithSheet="0"/>
  </xdr:twoCellAnchor>
  <xdr:twoCellAnchor editAs="absolute">
    <xdr:from>
      <xdr:col>3</xdr:col>
      <xdr:colOff>23342</xdr:colOff>
      <xdr:row>0</xdr:row>
      <xdr:rowOff>0</xdr:rowOff>
    </xdr:from>
    <xdr:to>
      <xdr:col>4</xdr:col>
      <xdr:colOff>24104</xdr:colOff>
      <xdr:row>2</xdr:row>
      <xdr:rowOff>1342</xdr:rowOff>
    </xdr:to>
    <xdr:pic macro="[0]!SaveDoc">
      <xdr:nvPicPr>
        <xdr:cNvPr id="5246" name="Picture 5245" descr="Disk with solid fill">
          <a:extLst>
            <a:ext uri="{FF2B5EF4-FFF2-40B4-BE49-F238E27FC236}">
              <a16:creationId xmlns:a16="http://schemas.microsoft.com/office/drawing/2014/main" id="{00000000-0008-0000-0200-00007E140000}"/>
            </a:ext>
          </a:extLst>
        </xdr:cNvPr>
        <xdr:cNvPicPr preferRelativeResize="0">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flipH="1">
          <a:off x="1818668" y="0"/>
          <a:ext cx="576072" cy="576072"/>
        </a:xfrm>
        <a:prstGeom prst="rect">
          <a:avLst/>
        </a:prstGeom>
      </xdr:spPr>
    </xdr:pic>
    <xdr:clientData fPrintsWithSheet="0"/>
  </xdr:twoCellAnchor>
  <xdr:twoCellAnchor>
    <xdr:from>
      <xdr:col>4</xdr:col>
      <xdr:colOff>142875</xdr:colOff>
      <xdr:row>34</xdr:row>
      <xdr:rowOff>57150</xdr:rowOff>
    </xdr:from>
    <xdr:to>
      <xdr:col>7</xdr:col>
      <xdr:colOff>904875</xdr:colOff>
      <xdr:row>34</xdr:row>
      <xdr:rowOff>1847850</xdr:rowOff>
    </xdr:to>
    <xdr:grpSp>
      <xdr:nvGrpSpPr>
        <xdr:cNvPr id="11318" name="VBA_Geometry">
          <a:extLst>
            <a:ext uri="{FF2B5EF4-FFF2-40B4-BE49-F238E27FC236}">
              <a16:creationId xmlns:a16="http://schemas.microsoft.com/office/drawing/2014/main" id="{2C55E449-555C-FE5A-86EB-D0EE26224BB1}"/>
            </a:ext>
          </a:extLst>
        </xdr:cNvPr>
        <xdr:cNvGrpSpPr>
          <a:grpSpLocks/>
        </xdr:cNvGrpSpPr>
      </xdr:nvGrpSpPr>
      <xdr:grpSpPr>
        <a:xfrm>
          <a:off x="2524125" y="5286375"/>
          <a:ext cx="2190750" cy="1790700"/>
          <a:chOff x="0" y="5000625"/>
          <a:chExt cx="2190750" cy="1790700"/>
        </a:xfrm>
      </xdr:grpSpPr>
      <xdr:sp macro="" textlink="">
        <xdr:nvSpPr>
          <xdr:cNvPr id="11288" name="VBA_CLT_Board_0_0">
            <a:extLst>
              <a:ext uri="{FF2B5EF4-FFF2-40B4-BE49-F238E27FC236}">
                <a16:creationId xmlns:a16="http://schemas.microsoft.com/office/drawing/2014/main" id="{B8A9DD71-A61B-F320-FF31-1A6EE1F5600E}"/>
              </a:ext>
            </a:extLst>
          </xdr:cNvPr>
          <xdr:cNvSpPr/>
        </xdr:nvSpPr>
        <xdr:spPr>
          <a:xfrm>
            <a:off x="476250" y="5419725"/>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89" name="VBA_CLT_Board_0_1">
            <a:extLst>
              <a:ext uri="{FF2B5EF4-FFF2-40B4-BE49-F238E27FC236}">
                <a16:creationId xmlns:a16="http://schemas.microsoft.com/office/drawing/2014/main" id="{7CDBA919-D780-436D-A40A-AB7F28CF2F93}"/>
              </a:ext>
            </a:extLst>
          </xdr:cNvPr>
          <xdr:cNvSpPr/>
        </xdr:nvSpPr>
        <xdr:spPr>
          <a:xfrm>
            <a:off x="819150" y="5419725"/>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0" name="VBA_CLT_Board_0_2">
            <a:extLst>
              <a:ext uri="{FF2B5EF4-FFF2-40B4-BE49-F238E27FC236}">
                <a16:creationId xmlns:a16="http://schemas.microsoft.com/office/drawing/2014/main" id="{B27C6354-9E51-2D96-7225-64712DD9AF05}"/>
              </a:ext>
            </a:extLst>
          </xdr:cNvPr>
          <xdr:cNvSpPr/>
        </xdr:nvSpPr>
        <xdr:spPr>
          <a:xfrm>
            <a:off x="1162050" y="5419725"/>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1" name="VBA_CLT_Board_0_3">
            <a:extLst>
              <a:ext uri="{FF2B5EF4-FFF2-40B4-BE49-F238E27FC236}">
                <a16:creationId xmlns:a16="http://schemas.microsoft.com/office/drawing/2014/main" id="{263D4D37-B75F-C344-A266-09F990750CDB}"/>
              </a:ext>
            </a:extLst>
          </xdr:cNvPr>
          <xdr:cNvSpPr/>
        </xdr:nvSpPr>
        <xdr:spPr>
          <a:xfrm>
            <a:off x="1504950" y="5419725"/>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2" name="VBA_CLT_Board_0_4">
            <a:extLst>
              <a:ext uri="{FF2B5EF4-FFF2-40B4-BE49-F238E27FC236}">
                <a16:creationId xmlns:a16="http://schemas.microsoft.com/office/drawing/2014/main" id="{19786058-167B-7677-8677-D8ED6C17EDAF}"/>
              </a:ext>
            </a:extLst>
          </xdr:cNvPr>
          <xdr:cNvSpPr/>
        </xdr:nvSpPr>
        <xdr:spPr>
          <a:xfrm>
            <a:off x="1847850" y="5419725"/>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3" name="VBA_CLT_Cont_1">
            <a:extLst>
              <a:ext uri="{FF2B5EF4-FFF2-40B4-BE49-F238E27FC236}">
                <a16:creationId xmlns:a16="http://schemas.microsoft.com/office/drawing/2014/main" id="{0337E0D2-7852-4DF7-52A2-4E205D7797CF}"/>
              </a:ext>
            </a:extLst>
          </xdr:cNvPr>
          <xdr:cNvSpPr/>
        </xdr:nvSpPr>
        <xdr:spPr>
          <a:xfrm>
            <a:off x="476250" y="5505450"/>
            <a:ext cx="1714500" cy="57150"/>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4" name="VBA_CLT_Board_2_0">
            <a:extLst>
              <a:ext uri="{FF2B5EF4-FFF2-40B4-BE49-F238E27FC236}">
                <a16:creationId xmlns:a16="http://schemas.microsoft.com/office/drawing/2014/main" id="{7F1FB19D-2EAA-C7AD-4E4E-8216570A6BC8}"/>
              </a:ext>
            </a:extLst>
          </xdr:cNvPr>
          <xdr:cNvSpPr/>
        </xdr:nvSpPr>
        <xdr:spPr>
          <a:xfrm>
            <a:off x="476250" y="5562600"/>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5" name="VBA_CLT_Board_2_1">
            <a:extLst>
              <a:ext uri="{FF2B5EF4-FFF2-40B4-BE49-F238E27FC236}">
                <a16:creationId xmlns:a16="http://schemas.microsoft.com/office/drawing/2014/main" id="{72BAE3CC-7F03-B656-19A9-0439B67D184F}"/>
              </a:ext>
            </a:extLst>
          </xdr:cNvPr>
          <xdr:cNvSpPr/>
        </xdr:nvSpPr>
        <xdr:spPr>
          <a:xfrm>
            <a:off x="819150" y="5562600"/>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6" name="VBA_CLT_Board_2_2">
            <a:extLst>
              <a:ext uri="{FF2B5EF4-FFF2-40B4-BE49-F238E27FC236}">
                <a16:creationId xmlns:a16="http://schemas.microsoft.com/office/drawing/2014/main" id="{6BCA4078-FB44-92A3-2A2B-721969D7E6C4}"/>
              </a:ext>
            </a:extLst>
          </xdr:cNvPr>
          <xdr:cNvSpPr/>
        </xdr:nvSpPr>
        <xdr:spPr>
          <a:xfrm>
            <a:off x="1162050" y="5562600"/>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7" name="VBA_CLT_Board_2_3">
            <a:extLst>
              <a:ext uri="{FF2B5EF4-FFF2-40B4-BE49-F238E27FC236}">
                <a16:creationId xmlns:a16="http://schemas.microsoft.com/office/drawing/2014/main" id="{0F680DD8-A00C-60B7-86E2-5663685DC5D5}"/>
              </a:ext>
            </a:extLst>
          </xdr:cNvPr>
          <xdr:cNvSpPr/>
        </xdr:nvSpPr>
        <xdr:spPr>
          <a:xfrm>
            <a:off x="1504950" y="5562600"/>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8" name="VBA_CLT_Board_2_4">
            <a:extLst>
              <a:ext uri="{FF2B5EF4-FFF2-40B4-BE49-F238E27FC236}">
                <a16:creationId xmlns:a16="http://schemas.microsoft.com/office/drawing/2014/main" id="{A4823A5F-0AAF-16CA-28CA-533C1F0E9FC8}"/>
              </a:ext>
            </a:extLst>
          </xdr:cNvPr>
          <xdr:cNvSpPr/>
        </xdr:nvSpPr>
        <xdr:spPr>
          <a:xfrm>
            <a:off x="1847850" y="5562600"/>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299" name="VBA_CLT_Bordo">
            <a:extLst>
              <a:ext uri="{FF2B5EF4-FFF2-40B4-BE49-F238E27FC236}">
                <a16:creationId xmlns:a16="http://schemas.microsoft.com/office/drawing/2014/main" id="{DF28B081-9BA9-AED7-E012-ACC9024E32AE}"/>
              </a:ext>
            </a:extLst>
          </xdr:cNvPr>
          <xdr:cNvSpPr/>
        </xdr:nvSpPr>
        <xdr:spPr>
          <a:xfrm>
            <a:off x="476250" y="5419725"/>
            <a:ext cx="1714500" cy="228600"/>
          </a:xfrm>
          <a:prstGeom prst="rect">
            <a:avLst/>
          </a:prstGeom>
          <a:noFill/>
          <a:ln w="15875" cap="flat" cmpd="sng" algn="ctr">
            <a:solidFill>
              <a:srgbClr val="503C28"/>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00" name="VBA_Geometry_2">
            <a:extLst>
              <a:ext uri="{FF2B5EF4-FFF2-40B4-BE49-F238E27FC236}">
                <a16:creationId xmlns:a16="http://schemas.microsoft.com/office/drawing/2014/main" id="{1D1912F8-6BFB-05FA-B545-5F5B890AA6B0}"/>
              </a:ext>
            </a:extLst>
          </xdr:cNvPr>
          <xdr:cNvSpPr/>
        </xdr:nvSpPr>
        <xdr:spPr>
          <a:xfrm>
            <a:off x="1104900" y="5648325"/>
            <a:ext cx="457200" cy="914400"/>
          </a:xfrm>
          <a:prstGeom prst="rect">
            <a:avLst/>
          </a:prstGeom>
          <a:solidFill>
            <a:srgbClr val="C49A6C"/>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01" name="VBA_GL_Line_1">
            <a:extLst>
              <a:ext uri="{FF2B5EF4-FFF2-40B4-BE49-F238E27FC236}">
                <a16:creationId xmlns:a16="http://schemas.microsoft.com/office/drawing/2014/main" id="{96EC37F4-710C-B4C0-025D-491F4203EB6E}"/>
              </a:ext>
            </a:extLst>
          </xdr:cNvPr>
          <xdr:cNvCxnSpPr/>
        </xdr:nvCxnSpPr>
        <xdr:spPr>
          <a:xfrm>
            <a:off x="1104900" y="576262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02" name="VBA_GL_Line_2">
            <a:extLst>
              <a:ext uri="{FF2B5EF4-FFF2-40B4-BE49-F238E27FC236}">
                <a16:creationId xmlns:a16="http://schemas.microsoft.com/office/drawing/2014/main" id="{86A065AE-4AA7-854F-E151-FF1F6F5B72EA}"/>
              </a:ext>
            </a:extLst>
          </xdr:cNvPr>
          <xdr:cNvCxnSpPr/>
        </xdr:nvCxnSpPr>
        <xdr:spPr>
          <a:xfrm>
            <a:off x="1104900" y="587692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03" name="VBA_GL_Line_3">
            <a:extLst>
              <a:ext uri="{FF2B5EF4-FFF2-40B4-BE49-F238E27FC236}">
                <a16:creationId xmlns:a16="http://schemas.microsoft.com/office/drawing/2014/main" id="{4B984313-FE53-3201-235D-CBB1B415DE55}"/>
              </a:ext>
            </a:extLst>
          </xdr:cNvPr>
          <xdr:cNvCxnSpPr/>
        </xdr:nvCxnSpPr>
        <xdr:spPr>
          <a:xfrm>
            <a:off x="1104900" y="599122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04" name="VBA_GL_Line_4">
            <a:extLst>
              <a:ext uri="{FF2B5EF4-FFF2-40B4-BE49-F238E27FC236}">
                <a16:creationId xmlns:a16="http://schemas.microsoft.com/office/drawing/2014/main" id="{A89D69BE-BFDB-B940-C047-2A8C0AC998C6}"/>
              </a:ext>
            </a:extLst>
          </xdr:cNvPr>
          <xdr:cNvCxnSpPr/>
        </xdr:nvCxnSpPr>
        <xdr:spPr>
          <a:xfrm>
            <a:off x="1104900" y="610552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05" name="VBA_GL_Line_5">
            <a:extLst>
              <a:ext uri="{FF2B5EF4-FFF2-40B4-BE49-F238E27FC236}">
                <a16:creationId xmlns:a16="http://schemas.microsoft.com/office/drawing/2014/main" id="{CBDE7106-934D-FD57-055D-389283000A95}"/>
              </a:ext>
            </a:extLst>
          </xdr:cNvPr>
          <xdr:cNvCxnSpPr/>
        </xdr:nvCxnSpPr>
        <xdr:spPr>
          <a:xfrm>
            <a:off x="1104900" y="621982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06" name="VBA_GL_Line_6">
            <a:extLst>
              <a:ext uri="{FF2B5EF4-FFF2-40B4-BE49-F238E27FC236}">
                <a16:creationId xmlns:a16="http://schemas.microsoft.com/office/drawing/2014/main" id="{88E65ABB-577E-18BE-6575-273A6EBED9CF}"/>
              </a:ext>
            </a:extLst>
          </xdr:cNvPr>
          <xdr:cNvCxnSpPr/>
        </xdr:nvCxnSpPr>
        <xdr:spPr>
          <a:xfrm>
            <a:off x="1104900" y="633412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07" name="VBA_GL_Line_7">
            <a:extLst>
              <a:ext uri="{FF2B5EF4-FFF2-40B4-BE49-F238E27FC236}">
                <a16:creationId xmlns:a16="http://schemas.microsoft.com/office/drawing/2014/main" id="{61D1F9B4-00DB-01B4-7066-D2668E945CEC}"/>
              </a:ext>
            </a:extLst>
          </xdr:cNvPr>
          <xdr:cNvCxnSpPr/>
        </xdr:nvCxnSpPr>
        <xdr:spPr>
          <a:xfrm>
            <a:off x="1104900" y="644842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08" name="VBA_Quota_Line_20">
            <a:extLst>
              <a:ext uri="{FF2B5EF4-FFF2-40B4-BE49-F238E27FC236}">
                <a16:creationId xmlns:a16="http://schemas.microsoft.com/office/drawing/2014/main" id="{8250FBEE-0715-8DA0-D6AE-2F8403A21105}"/>
              </a:ext>
            </a:extLst>
          </xdr:cNvPr>
          <xdr:cNvCxnSpPr/>
        </xdr:nvCxnSpPr>
        <xdr:spPr>
          <a:xfrm>
            <a:off x="247650" y="5419725"/>
            <a:ext cx="0" cy="22860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09" name="VBA_Quota_Text_21">
            <a:extLst>
              <a:ext uri="{FF2B5EF4-FFF2-40B4-BE49-F238E27FC236}">
                <a16:creationId xmlns:a16="http://schemas.microsoft.com/office/drawing/2014/main" id="{B0AC06D0-2C22-1CFB-0250-AB43D0B2687C}"/>
              </a:ext>
            </a:extLst>
          </xdr:cNvPr>
          <xdr:cNvSpPr txBox="1"/>
        </xdr:nvSpPr>
        <xdr:spPr>
          <a:xfrm>
            <a:off x="0" y="545147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h₁=80mm</a:t>
            </a:r>
          </a:p>
        </xdr:txBody>
      </xdr:sp>
      <xdr:cxnSp macro="">
        <xdr:nvCxnSpPr>
          <xdr:cNvPr id="11310" name="VBA_Quota_Line_22">
            <a:extLst>
              <a:ext uri="{FF2B5EF4-FFF2-40B4-BE49-F238E27FC236}">
                <a16:creationId xmlns:a16="http://schemas.microsoft.com/office/drawing/2014/main" id="{9C9E0745-070F-DC7A-6E11-48CDD1B22DF8}"/>
              </a:ext>
            </a:extLst>
          </xdr:cNvPr>
          <xdr:cNvCxnSpPr/>
        </xdr:nvCxnSpPr>
        <xdr:spPr>
          <a:xfrm>
            <a:off x="876300" y="5648325"/>
            <a:ext cx="0" cy="91440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11" name="VBA_Quota_Text_23">
            <a:extLst>
              <a:ext uri="{FF2B5EF4-FFF2-40B4-BE49-F238E27FC236}">
                <a16:creationId xmlns:a16="http://schemas.microsoft.com/office/drawing/2014/main" id="{373C280D-4B89-DA63-D254-26A9A2A04047}"/>
              </a:ext>
            </a:extLst>
          </xdr:cNvPr>
          <xdr:cNvSpPr txBox="1"/>
        </xdr:nvSpPr>
        <xdr:spPr>
          <a:xfrm>
            <a:off x="215900" y="602297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h₂=320mm</a:t>
            </a:r>
          </a:p>
        </xdr:txBody>
      </xdr:sp>
      <xdr:cxnSp macro="">
        <xdr:nvCxnSpPr>
          <xdr:cNvPr id="11312" name="VBA_Quota_Line_24">
            <a:extLst>
              <a:ext uri="{FF2B5EF4-FFF2-40B4-BE49-F238E27FC236}">
                <a16:creationId xmlns:a16="http://schemas.microsoft.com/office/drawing/2014/main" id="{5018BF3E-5FC6-06BA-344D-C42BDDB29E77}"/>
              </a:ext>
            </a:extLst>
          </xdr:cNvPr>
          <xdr:cNvCxnSpPr/>
        </xdr:nvCxnSpPr>
        <xdr:spPr>
          <a:xfrm>
            <a:off x="476250" y="5191125"/>
            <a:ext cx="171450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13" name="VBA_Quota_Text_25">
            <a:extLst>
              <a:ext uri="{FF2B5EF4-FFF2-40B4-BE49-F238E27FC236}">
                <a16:creationId xmlns:a16="http://schemas.microsoft.com/office/drawing/2014/main" id="{105552AC-C228-B43A-6D06-967487CF8CEB}"/>
              </a:ext>
            </a:extLst>
          </xdr:cNvPr>
          <xdr:cNvSpPr txBox="1"/>
        </xdr:nvSpPr>
        <xdr:spPr>
          <a:xfrm>
            <a:off x="1016000" y="500062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b₁=600mm</a:t>
            </a:r>
          </a:p>
        </xdr:txBody>
      </xdr:sp>
      <xdr:cxnSp macro="">
        <xdr:nvCxnSpPr>
          <xdr:cNvPr id="11314" name="VBA_Quota_Line_26">
            <a:extLst>
              <a:ext uri="{FF2B5EF4-FFF2-40B4-BE49-F238E27FC236}">
                <a16:creationId xmlns:a16="http://schemas.microsoft.com/office/drawing/2014/main" id="{021183B0-C787-1775-38C9-15C1E3F5F92F}"/>
              </a:ext>
            </a:extLst>
          </xdr:cNvPr>
          <xdr:cNvCxnSpPr/>
        </xdr:nvCxnSpPr>
        <xdr:spPr>
          <a:xfrm>
            <a:off x="1104900" y="6791325"/>
            <a:ext cx="45720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15" name="VBA_Quota_Text_27">
            <a:extLst>
              <a:ext uri="{FF2B5EF4-FFF2-40B4-BE49-F238E27FC236}">
                <a16:creationId xmlns:a16="http://schemas.microsoft.com/office/drawing/2014/main" id="{A1AEADCD-6D27-8203-1A5B-55C645B565BE}"/>
              </a:ext>
            </a:extLst>
          </xdr:cNvPr>
          <xdr:cNvSpPr txBox="1"/>
        </xdr:nvSpPr>
        <xdr:spPr>
          <a:xfrm>
            <a:off x="1016000" y="660082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b₂=160mm</a:t>
            </a:r>
          </a:p>
        </xdr:txBody>
      </xdr:sp>
      <xdr:sp macro="" textlink="">
        <xdr:nvSpPr>
          <xdr:cNvPr id="11316" name="VBA_Circle_1_28">
            <a:extLst>
              <a:ext uri="{FF2B5EF4-FFF2-40B4-BE49-F238E27FC236}">
                <a16:creationId xmlns:a16="http://schemas.microsoft.com/office/drawing/2014/main" id="{81D6D2E9-381E-3E4A-8F24-C93AA47662BE}"/>
              </a:ext>
            </a:extLst>
          </xdr:cNvPr>
          <xdr:cNvSpPr/>
        </xdr:nvSpPr>
        <xdr:spPr>
          <a:xfrm>
            <a:off x="1231900" y="5432425"/>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1</a:t>
            </a:r>
          </a:p>
        </xdr:txBody>
      </xdr:sp>
      <xdr:sp macro="" textlink="">
        <xdr:nvSpPr>
          <xdr:cNvPr id="11317" name="VBA_Circle_2_29">
            <a:extLst>
              <a:ext uri="{FF2B5EF4-FFF2-40B4-BE49-F238E27FC236}">
                <a16:creationId xmlns:a16="http://schemas.microsoft.com/office/drawing/2014/main" id="{13A4F442-6864-C076-096B-7EB6C83E0A8B}"/>
              </a:ext>
            </a:extLst>
          </xdr:cNvPr>
          <xdr:cNvSpPr/>
        </xdr:nvSpPr>
        <xdr:spPr>
          <a:xfrm>
            <a:off x="1231900" y="6003925"/>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2</a:t>
            </a:r>
          </a:p>
        </xdr:txBody>
      </xdr:sp>
    </xdr:grpSp>
    <xdr:clientData/>
  </xdr:twoCellAnchor>
  <xdr:twoCellAnchor>
    <xdr:from>
      <xdr:col>1</xdr:col>
      <xdr:colOff>317500</xdr:colOff>
      <xdr:row>47</xdr:row>
      <xdr:rowOff>73025</xdr:rowOff>
    </xdr:from>
    <xdr:to>
      <xdr:col>5</xdr:col>
      <xdr:colOff>158750</xdr:colOff>
      <xdr:row>47</xdr:row>
      <xdr:rowOff>1450975</xdr:rowOff>
    </xdr:to>
    <xdr:grpSp>
      <xdr:nvGrpSpPr>
        <xdr:cNvPr id="11353" name="VBA_Support_Input_Group">
          <a:extLst>
            <a:ext uri="{FF2B5EF4-FFF2-40B4-BE49-F238E27FC236}">
              <a16:creationId xmlns:a16="http://schemas.microsoft.com/office/drawing/2014/main" id="{0F40EE65-E54E-002A-7E1D-30B40792C71F}"/>
            </a:ext>
          </a:extLst>
        </xdr:cNvPr>
        <xdr:cNvGrpSpPr>
          <a:grpSpLocks noChangeAspect="1"/>
        </xdr:cNvGrpSpPr>
      </xdr:nvGrpSpPr>
      <xdr:grpSpPr>
        <a:xfrm>
          <a:off x="412750" y="9093200"/>
          <a:ext cx="2698750" cy="1377950"/>
          <a:chOff x="412750" y="9027319"/>
          <a:chExt cx="2698750" cy="1377950"/>
        </a:xfrm>
      </xdr:grpSpPr>
      <xdr:sp macro="" textlink="">
        <xdr:nvSpPr>
          <xdr:cNvPr id="11319" name="VBA_Support_Input_CLT_B_0_0">
            <a:extLst>
              <a:ext uri="{FF2B5EF4-FFF2-40B4-BE49-F238E27FC236}">
                <a16:creationId xmlns:a16="http://schemas.microsoft.com/office/drawing/2014/main" id="{DEE0C320-8D8D-488B-BF4F-33E338E5737E}"/>
              </a:ext>
            </a:extLst>
          </xdr:cNvPr>
          <xdr:cNvSpPr/>
        </xdr:nvSpPr>
        <xdr:spPr>
          <a:xfrm>
            <a:off x="412750" y="933767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0" name="VBA_Support_Input_CLT_B_0_1">
            <a:extLst>
              <a:ext uri="{FF2B5EF4-FFF2-40B4-BE49-F238E27FC236}">
                <a16:creationId xmlns:a16="http://schemas.microsoft.com/office/drawing/2014/main" id="{ABF04253-AE3E-1186-6C15-D3AA5525ABAA}"/>
              </a:ext>
            </a:extLst>
          </xdr:cNvPr>
          <xdr:cNvSpPr/>
        </xdr:nvSpPr>
        <xdr:spPr>
          <a:xfrm>
            <a:off x="952500" y="933767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1" name="VBA_Support_Input_CLT_B_0_2">
            <a:extLst>
              <a:ext uri="{FF2B5EF4-FFF2-40B4-BE49-F238E27FC236}">
                <a16:creationId xmlns:a16="http://schemas.microsoft.com/office/drawing/2014/main" id="{6139B74E-635D-EA2F-A026-96342563B8B4}"/>
              </a:ext>
            </a:extLst>
          </xdr:cNvPr>
          <xdr:cNvSpPr/>
        </xdr:nvSpPr>
        <xdr:spPr>
          <a:xfrm>
            <a:off x="1492250" y="933767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2" name="VBA_Support_Input_CLT_B_0_3">
            <a:extLst>
              <a:ext uri="{FF2B5EF4-FFF2-40B4-BE49-F238E27FC236}">
                <a16:creationId xmlns:a16="http://schemas.microsoft.com/office/drawing/2014/main" id="{B7AAACDF-CFB0-CDC4-B6D5-54E05D429901}"/>
              </a:ext>
            </a:extLst>
          </xdr:cNvPr>
          <xdr:cNvSpPr/>
        </xdr:nvSpPr>
        <xdr:spPr>
          <a:xfrm>
            <a:off x="2032000" y="933767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3" name="VBA_Support_Input_CLT_B_0_4">
            <a:extLst>
              <a:ext uri="{FF2B5EF4-FFF2-40B4-BE49-F238E27FC236}">
                <a16:creationId xmlns:a16="http://schemas.microsoft.com/office/drawing/2014/main" id="{6CE0D4F0-27A3-79D0-766B-BD98ABF54EB5}"/>
              </a:ext>
            </a:extLst>
          </xdr:cNvPr>
          <xdr:cNvSpPr/>
        </xdr:nvSpPr>
        <xdr:spPr>
          <a:xfrm>
            <a:off x="2571750" y="933767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4" name="VBA_Support_Input_CLT_C_1">
            <a:extLst>
              <a:ext uri="{FF2B5EF4-FFF2-40B4-BE49-F238E27FC236}">
                <a16:creationId xmlns:a16="http://schemas.microsoft.com/office/drawing/2014/main" id="{493B797F-38D4-67B3-9C2E-0754A342BE47}"/>
              </a:ext>
            </a:extLst>
          </xdr:cNvPr>
          <xdr:cNvSpPr/>
        </xdr:nvSpPr>
        <xdr:spPr>
          <a:xfrm>
            <a:off x="412750" y="9464179"/>
            <a:ext cx="2698750" cy="84336"/>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5" name="VBA_Support_Input_CLT_B_2_0">
            <a:extLst>
              <a:ext uri="{FF2B5EF4-FFF2-40B4-BE49-F238E27FC236}">
                <a16:creationId xmlns:a16="http://schemas.microsoft.com/office/drawing/2014/main" id="{EEDC80CA-9EB5-FB99-1D54-8C3786FF2920}"/>
              </a:ext>
            </a:extLst>
          </xdr:cNvPr>
          <xdr:cNvSpPr/>
        </xdr:nvSpPr>
        <xdr:spPr>
          <a:xfrm>
            <a:off x="412750" y="954851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6" name="VBA_Support_Input_CLT_B_2_1">
            <a:extLst>
              <a:ext uri="{FF2B5EF4-FFF2-40B4-BE49-F238E27FC236}">
                <a16:creationId xmlns:a16="http://schemas.microsoft.com/office/drawing/2014/main" id="{0AD07C31-A2B2-C5B7-CC04-84FBB641C6B5}"/>
              </a:ext>
            </a:extLst>
          </xdr:cNvPr>
          <xdr:cNvSpPr/>
        </xdr:nvSpPr>
        <xdr:spPr>
          <a:xfrm>
            <a:off x="952500" y="954851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7" name="VBA_Support_Input_CLT_B_2_2">
            <a:extLst>
              <a:ext uri="{FF2B5EF4-FFF2-40B4-BE49-F238E27FC236}">
                <a16:creationId xmlns:a16="http://schemas.microsoft.com/office/drawing/2014/main" id="{79BD1270-666D-BC71-45DA-6B4043608432}"/>
              </a:ext>
            </a:extLst>
          </xdr:cNvPr>
          <xdr:cNvSpPr/>
        </xdr:nvSpPr>
        <xdr:spPr>
          <a:xfrm>
            <a:off x="1492250" y="954851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8" name="VBA_Support_Input_CLT_B_2_3">
            <a:extLst>
              <a:ext uri="{FF2B5EF4-FFF2-40B4-BE49-F238E27FC236}">
                <a16:creationId xmlns:a16="http://schemas.microsoft.com/office/drawing/2014/main" id="{65A72431-259C-D8DF-D38A-B555F4E51191}"/>
              </a:ext>
            </a:extLst>
          </xdr:cNvPr>
          <xdr:cNvSpPr/>
        </xdr:nvSpPr>
        <xdr:spPr>
          <a:xfrm>
            <a:off x="2032000" y="954851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29" name="VBA_Support_Input_CLT_B_2_4">
            <a:extLst>
              <a:ext uri="{FF2B5EF4-FFF2-40B4-BE49-F238E27FC236}">
                <a16:creationId xmlns:a16="http://schemas.microsoft.com/office/drawing/2014/main" id="{AAAD9375-6844-7D0C-8C0D-04162959FB12}"/>
              </a:ext>
            </a:extLst>
          </xdr:cNvPr>
          <xdr:cNvSpPr/>
        </xdr:nvSpPr>
        <xdr:spPr>
          <a:xfrm>
            <a:off x="2571750" y="954851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30" name="VBA_Support_Input_CLT_Sup">
            <a:extLst>
              <a:ext uri="{FF2B5EF4-FFF2-40B4-BE49-F238E27FC236}">
                <a16:creationId xmlns:a16="http://schemas.microsoft.com/office/drawing/2014/main" id="{8D7247F4-B05C-A73D-DECC-B67E239D81C2}"/>
              </a:ext>
            </a:extLst>
          </xdr:cNvPr>
          <xdr:cNvCxnSpPr/>
        </xdr:nvCxnSpPr>
        <xdr:spPr>
          <a:xfrm>
            <a:off x="412750" y="9337675"/>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11331" name="VBA_Support_Input_CLT_Inf">
            <a:extLst>
              <a:ext uri="{FF2B5EF4-FFF2-40B4-BE49-F238E27FC236}">
                <a16:creationId xmlns:a16="http://schemas.microsoft.com/office/drawing/2014/main" id="{D444432B-612A-FC06-ECBA-363CC83681AD}"/>
              </a:ext>
            </a:extLst>
          </xdr:cNvPr>
          <xdr:cNvCxnSpPr/>
        </xdr:nvCxnSpPr>
        <xdr:spPr>
          <a:xfrm>
            <a:off x="412750" y="9675019"/>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11332" name="VBA_Support_Input_CLT_SX">
            <a:extLst>
              <a:ext uri="{FF2B5EF4-FFF2-40B4-BE49-F238E27FC236}">
                <a16:creationId xmlns:a16="http://schemas.microsoft.com/office/drawing/2014/main" id="{3123B951-7EB3-E539-72EC-CB2108A3910D}"/>
              </a:ext>
            </a:extLst>
          </xdr:cNvPr>
          <xdr:cNvCxnSpPr/>
        </xdr:nvCxnSpPr>
        <xdr:spPr>
          <a:xfrm>
            <a:off x="412750" y="9337675"/>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333" name="VBA_Support_Input_CLT_DX">
            <a:extLst>
              <a:ext uri="{FF2B5EF4-FFF2-40B4-BE49-F238E27FC236}">
                <a16:creationId xmlns:a16="http://schemas.microsoft.com/office/drawing/2014/main" id="{BD8B0492-9DE6-D560-670F-0387731B8BE6}"/>
              </a:ext>
            </a:extLst>
          </xdr:cNvPr>
          <xdr:cNvCxnSpPr/>
        </xdr:nvCxnSpPr>
        <xdr:spPr>
          <a:xfrm>
            <a:off x="3111500" y="9337675"/>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1334" name="VBA_Support_Input_Trave">
            <a:extLst>
              <a:ext uri="{FF2B5EF4-FFF2-40B4-BE49-F238E27FC236}">
                <a16:creationId xmlns:a16="http://schemas.microsoft.com/office/drawing/2014/main" id="{E4517584-CD1B-A7E2-A2B0-985A93DA2639}"/>
              </a:ext>
            </a:extLst>
          </xdr:cNvPr>
          <xdr:cNvSpPr/>
        </xdr:nvSpPr>
        <xdr:spPr>
          <a:xfrm>
            <a:off x="1424781" y="9675019"/>
            <a:ext cx="674688" cy="539750"/>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35" name="VBA_Support_Input_GL_L_1">
            <a:extLst>
              <a:ext uri="{FF2B5EF4-FFF2-40B4-BE49-F238E27FC236}">
                <a16:creationId xmlns:a16="http://schemas.microsoft.com/office/drawing/2014/main" id="{93B48DB8-EEA9-6C4B-0D7F-2A3E220A9EC6}"/>
              </a:ext>
            </a:extLst>
          </xdr:cNvPr>
          <xdr:cNvCxnSpPr/>
        </xdr:nvCxnSpPr>
        <xdr:spPr>
          <a:xfrm>
            <a:off x="1424781" y="9854936"/>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36" name="VBA_Support_Input_GL_L_2">
            <a:extLst>
              <a:ext uri="{FF2B5EF4-FFF2-40B4-BE49-F238E27FC236}">
                <a16:creationId xmlns:a16="http://schemas.microsoft.com/office/drawing/2014/main" id="{7B2A3BB7-AEF2-9D15-D65F-00FF1B38146F}"/>
              </a:ext>
            </a:extLst>
          </xdr:cNvPr>
          <xdr:cNvCxnSpPr/>
        </xdr:nvCxnSpPr>
        <xdr:spPr>
          <a:xfrm>
            <a:off x="1424781" y="10034852"/>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37" name="VBA_Support_Input_Bordo_SX">
            <a:extLst>
              <a:ext uri="{FF2B5EF4-FFF2-40B4-BE49-F238E27FC236}">
                <a16:creationId xmlns:a16="http://schemas.microsoft.com/office/drawing/2014/main" id="{59227138-6795-482C-2A40-462F3C0E8E0E}"/>
              </a:ext>
            </a:extLst>
          </xdr:cNvPr>
          <xdr:cNvCxnSpPr/>
        </xdr:nvCxnSpPr>
        <xdr:spPr>
          <a:xfrm>
            <a:off x="1424781" y="9675019"/>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11338" name="VBA_Support_Input_Bordo_DX">
            <a:extLst>
              <a:ext uri="{FF2B5EF4-FFF2-40B4-BE49-F238E27FC236}">
                <a16:creationId xmlns:a16="http://schemas.microsoft.com/office/drawing/2014/main" id="{B433F271-15B1-F1ED-120B-50596D4818E2}"/>
              </a:ext>
            </a:extLst>
          </xdr:cNvPr>
          <xdr:cNvCxnSpPr/>
        </xdr:nvCxnSpPr>
        <xdr:spPr>
          <a:xfrm>
            <a:off x="2099469" y="9675019"/>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11339" name="VBA_Support_Input_Bordo_Sup">
            <a:extLst>
              <a:ext uri="{FF2B5EF4-FFF2-40B4-BE49-F238E27FC236}">
                <a16:creationId xmlns:a16="http://schemas.microsoft.com/office/drawing/2014/main" id="{209CE6B9-2928-C641-D673-9F33AE210EF9}"/>
              </a:ext>
            </a:extLst>
          </xdr:cNvPr>
          <xdr:cNvCxnSpPr/>
        </xdr:nvCxnSpPr>
        <xdr:spPr>
          <a:xfrm>
            <a:off x="1424781" y="9675019"/>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11340" name="VBA_Support_Input_BordoTaglio">
            <a:extLst>
              <a:ext uri="{FF2B5EF4-FFF2-40B4-BE49-F238E27FC236}">
                <a16:creationId xmlns:a16="http://schemas.microsoft.com/office/drawing/2014/main" id="{9838E06F-9080-5C25-1EE6-F0C0082027B7}"/>
              </a:ext>
            </a:extLst>
          </xdr:cNvPr>
          <xdr:cNvCxnSpPr/>
        </xdr:nvCxnSpPr>
        <xdr:spPr>
          <a:xfrm>
            <a:off x="1424781" y="10214769"/>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1341" name="VBA_Support_Input_SharpMetal_1">
            <a:extLst>
              <a:ext uri="{FF2B5EF4-FFF2-40B4-BE49-F238E27FC236}">
                <a16:creationId xmlns:a16="http://schemas.microsoft.com/office/drawing/2014/main" id="{939DDABA-ECBA-6403-6F81-A01C6871947C}"/>
              </a:ext>
            </a:extLst>
          </xdr:cNvPr>
          <xdr:cNvSpPr/>
        </xdr:nvSpPr>
        <xdr:spPr>
          <a:xfrm>
            <a:off x="1551285" y="9658152"/>
            <a:ext cx="210840" cy="33734"/>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42" name="VBA_Support_Input_ViteTBS_1">
            <a:extLst>
              <a:ext uri="{FF2B5EF4-FFF2-40B4-BE49-F238E27FC236}">
                <a16:creationId xmlns:a16="http://schemas.microsoft.com/office/drawing/2014/main" id="{875E945F-7D2D-FC69-3ACA-8AEC6CEA8567}"/>
              </a:ext>
            </a:extLst>
          </xdr:cNvPr>
          <xdr:cNvCxnSpPr/>
        </xdr:nvCxnSpPr>
        <xdr:spPr>
          <a:xfrm>
            <a:off x="1656705" y="9337675"/>
            <a:ext cx="0" cy="834926"/>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11343" name="VBA_Support_Input_TestaTBS_1">
            <a:extLst>
              <a:ext uri="{FF2B5EF4-FFF2-40B4-BE49-F238E27FC236}">
                <a16:creationId xmlns:a16="http://schemas.microsoft.com/office/drawing/2014/main" id="{6E572869-78E8-0D42-F6B4-FC8374101649}"/>
              </a:ext>
            </a:extLst>
          </xdr:cNvPr>
          <xdr:cNvCxnSpPr/>
        </xdr:nvCxnSpPr>
        <xdr:spPr>
          <a:xfrm>
            <a:off x="1631404" y="9337675"/>
            <a:ext cx="50602"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sp macro="" textlink="">
        <xdr:nvSpPr>
          <xdr:cNvPr id="11344" name="VBA_Support_Input_SharpMetal_2">
            <a:extLst>
              <a:ext uri="{FF2B5EF4-FFF2-40B4-BE49-F238E27FC236}">
                <a16:creationId xmlns:a16="http://schemas.microsoft.com/office/drawing/2014/main" id="{D7B2A9C4-2D5D-F6AB-00B8-D0AE364B98F3}"/>
              </a:ext>
            </a:extLst>
          </xdr:cNvPr>
          <xdr:cNvSpPr/>
        </xdr:nvSpPr>
        <xdr:spPr>
          <a:xfrm>
            <a:off x="1762125" y="9658152"/>
            <a:ext cx="210840" cy="33734"/>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45" name="VBA_Support_Input_ViteTBS_2">
            <a:extLst>
              <a:ext uri="{FF2B5EF4-FFF2-40B4-BE49-F238E27FC236}">
                <a16:creationId xmlns:a16="http://schemas.microsoft.com/office/drawing/2014/main" id="{DCD59FC4-EE97-83E9-D8C2-B356E78D7E95}"/>
              </a:ext>
            </a:extLst>
          </xdr:cNvPr>
          <xdr:cNvCxnSpPr/>
        </xdr:nvCxnSpPr>
        <xdr:spPr>
          <a:xfrm>
            <a:off x="1867545" y="9337675"/>
            <a:ext cx="0" cy="834926"/>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11346" name="VBA_Support_Input_TestaTBS_2">
            <a:extLst>
              <a:ext uri="{FF2B5EF4-FFF2-40B4-BE49-F238E27FC236}">
                <a16:creationId xmlns:a16="http://schemas.microsoft.com/office/drawing/2014/main" id="{8D74B174-C128-EFAD-10AE-503414089644}"/>
              </a:ext>
            </a:extLst>
          </xdr:cNvPr>
          <xdr:cNvCxnSpPr/>
        </xdr:nvCxnSpPr>
        <xdr:spPr>
          <a:xfrm>
            <a:off x="1842244" y="9337675"/>
            <a:ext cx="50602"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11347" name="VBA_Support_Input_QLine_28">
            <a:extLst>
              <a:ext uri="{FF2B5EF4-FFF2-40B4-BE49-F238E27FC236}">
                <a16:creationId xmlns:a16="http://schemas.microsoft.com/office/drawing/2014/main" id="{F0CA1EDD-8B30-66CE-AD2E-96202D61154A}"/>
              </a:ext>
            </a:extLst>
          </xdr:cNvPr>
          <xdr:cNvCxnSpPr/>
        </xdr:nvCxnSpPr>
        <xdr:spPr>
          <a:xfrm>
            <a:off x="1551285" y="9564886"/>
            <a:ext cx="21084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48" name="VBA_Support_Input_QText_29">
            <a:extLst>
              <a:ext uri="{FF2B5EF4-FFF2-40B4-BE49-F238E27FC236}">
                <a16:creationId xmlns:a16="http://schemas.microsoft.com/office/drawing/2014/main" id="{0E914450-B179-EBA2-DC6A-764EEC465D43}"/>
              </a:ext>
            </a:extLst>
          </xdr:cNvPr>
          <xdr:cNvSpPr txBox="1"/>
        </xdr:nvSpPr>
        <xdr:spPr>
          <a:xfrm>
            <a:off x="1307455" y="9412486"/>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11349" name="VBA_Support_Input_QLine_30">
            <a:extLst>
              <a:ext uri="{FF2B5EF4-FFF2-40B4-BE49-F238E27FC236}">
                <a16:creationId xmlns:a16="http://schemas.microsoft.com/office/drawing/2014/main" id="{41DC77A8-ADA9-7423-DF86-B8B4D6B16678}"/>
              </a:ext>
            </a:extLst>
          </xdr:cNvPr>
          <xdr:cNvCxnSpPr/>
        </xdr:nvCxnSpPr>
        <xdr:spPr>
          <a:xfrm>
            <a:off x="1972965" y="9179719"/>
            <a:ext cx="12650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50" name="VBA_Support_Input_QText_31">
            <a:extLst>
              <a:ext uri="{FF2B5EF4-FFF2-40B4-BE49-F238E27FC236}">
                <a16:creationId xmlns:a16="http://schemas.microsoft.com/office/drawing/2014/main" id="{07C5686C-3A49-0596-0851-5C2DD5AD2F89}"/>
              </a:ext>
            </a:extLst>
          </xdr:cNvPr>
          <xdr:cNvSpPr txBox="1"/>
        </xdr:nvSpPr>
        <xdr:spPr>
          <a:xfrm>
            <a:off x="1686967" y="9027319"/>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27 mm</a:t>
            </a:r>
          </a:p>
        </xdr:txBody>
      </xdr:sp>
      <xdr:cxnSp macro="">
        <xdr:nvCxnSpPr>
          <xdr:cNvPr id="11351" name="VBA_Support_Input_QLine_32">
            <a:extLst>
              <a:ext uri="{FF2B5EF4-FFF2-40B4-BE49-F238E27FC236}">
                <a16:creationId xmlns:a16="http://schemas.microsoft.com/office/drawing/2014/main" id="{FCB07CA1-460F-6A13-8328-D1700C9670C5}"/>
              </a:ext>
            </a:extLst>
          </xdr:cNvPr>
          <xdr:cNvCxnSpPr/>
        </xdr:nvCxnSpPr>
        <xdr:spPr>
          <a:xfrm>
            <a:off x="1424781" y="10405269"/>
            <a:ext cx="23192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52" name="VBA_Support_Input_QText_33">
            <a:extLst>
              <a:ext uri="{FF2B5EF4-FFF2-40B4-BE49-F238E27FC236}">
                <a16:creationId xmlns:a16="http://schemas.microsoft.com/office/drawing/2014/main" id="{AFFC6C1F-FC12-8819-8D7B-C8E8A064ABA3}"/>
              </a:ext>
            </a:extLst>
          </xdr:cNvPr>
          <xdr:cNvSpPr txBox="1"/>
        </xdr:nvSpPr>
        <xdr:spPr>
          <a:xfrm>
            <a:off x="1191493" y="10252869"/>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55 mm</a:t>
            </a:r>
          </a:p>
        </xdr:txBody>
      </xdr:sp>
    </xdr:grpSp>
    <xdr:clientData/>
  </xdr:twoCellAnchor>
  <xdr:twoCellAnchor>
    <xdr:from>
      <xdr:col>7</xdr:col>
      <xdr:colOff>317500</xdr:colOff>
      <xdr:row>47</xdr:row>
      <xdr:rowOff>73025</xdr:rowOff>
    </xdr:from>
    <xdr:to>
      <xdr:col>11</xdr:col>
      <xdr:colOff>158750</xdr:colOff>
      <xdr:row>47</xdr:row>
      <xdr:rowOff>1450975</xdr:rowOff>
    </xdr:to>
    <xdr:grpSp>
      <xdr:nvGrpSpPr>
        <xdr:cNvPr id="11385" name="VBA_Midspan_Input_Group">
          <a:extLst>
            <a:ext uri="{FF2B5EF4-FFF2-40B4-BE49-F238E27FC236}">
              <a16:creationId xmlns:a16="http://schemas.microsoft.com/office/drawing/2014/main" id="{8D1ACB2E-C577-5D0B-7F48-5A8B877DB7C9}"/>
            </a:ext>
          </a:extLst>
        </xdr:cNvPr>
        <xdr:cNvGrpSpPr>
          <a:grpSpLocks noChangeAspect="1"/>
        </xdr:cNvGrpSpPr>
      </xdr:nvGrpSpPr>
      <xdr:grpSpPr>
        <a:xfrm>
          <a:off x="4127500" y="9093200"/>
          <a:ext cx="2698750" cy="1377950"/>
          <a:chOff x="4127500" y="9027319"/>
          <a:chExt cx="2698750" cy="1377950"/>
        </a:xfrm>
      </xdr:grpSpPr>
      <xdr:sp macro="" textlink="">
        <xdr:nvSpPr>
          <xdr:cNvPr id="11354" name="VBA_Midspan_Input_CLT_B_0_0">
            <a:extLst>
              <a:ext uri="{FF2B5EF4-FFF2-40B4-BE49-F238E27FC236}">
                <a16:creationId xmlns:a16="http://schemas.microsoft.com/office/drawing/2014/main" id="{EAD971B3-FDC8-A458-5059-0137526B210F}"/>
              </a:ext>
            </a:extLst>
          </xdr:cNvPr>
          <xdr:cNvSpPr/>
        </xdr:nvSpPr>
        <xdr:spPr>
          <a:xfrm>
            <a:off x="4127500" y="933767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55" name="VBA_Midspan_Input_CLT_B_0_1">
            <a:extLst>
              <a:ext uri="{FF2B5EF4-FFF2-40B4-BE49-F238E27FC236}">
                <a16:creationId xmlns:a16="http://schemas.microsoft.com/office/drawing/2014/main" id="{2B4BBB62-F90B-67AE-1906-C86E8ECE85BF}"/>
              </a:ext>
            </a:extLst>
          </xdr:cNvPr>
          <xdr:cNvSpPr/>
        </xdr:nvSpPr>
        <xdr:spPr>
          <a:xfrm>
            <a:off x="4667250" y="933767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56" name="VBA_Midspan_Input_CLT_B_0_2">
            <a:extLst>
              <a:ext uri="{FF2B5EF4-FFF2-40B4-BE49-F238E27FC236}">
                <a16:creationId xmlns:a16="http://schemas.microsoft.com/office/drawing/2014/main" id="{87AA1717-5E7F-427C-363B-76AC1D2CE2E8}"/>
              </a:ext>
            </a:extLst>
          </xdr:cNvPr>
          <xdr:cNvSpPr/>
        </xdr:nvSpPr>
        <xdr:spPr>
          <a:xfrm>
            <a:off x="5207000" y="933767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57" name="VBA_Midspan_Input_CLT_B_0_3">
            <a:extLst>
              <a:ext uri="{FF2B5EF4-FFF2-40B4-BE49-F238E27FC236}">
                <a16:creationId xmlns:a16="http://schemas.microsoft.com/office/drawing/2014/main" id="{4466F821-1631-9F31-4C68-CEE1C25EE075}"/>
              </a:ext>
            </a:extLst>
          </xdr:cNvPr>
          <xdr:cNvSpPr/>
        </xdr:nvSpPr>
        <xdr:spPr>
          <a:xfrm>
            <a:off x="5746750" y="933767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58" name="VBA_Midspan_Input_CLT_B_0_4">
            <a:extLst>
              <a:ext uri="{FF2B5EF4-FFF2-40B4-BE49-F238E27FC236}">
                <a16:creationId xmlns:a16="http://schemas.microsoft.com/office/drawing/2014/main" id="{344F358E-B2A5-986C-1EEC-AD579647B092}"/>
              </a:ext>
            </a:extLst>
          </xdr:cNvPr>
          <xdr:cNvSpPr/>
        </xdr:nvSpPr>
        <xdr:spPr>
          <a:xfrm>
            <a:off x="6286500" y="933767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59" name="VBA_Midspan_Input_CLT_C_1">
            <a:extLst>
              <a:ext uri="{FF2B5EF4-FFF2-40B4-BE49-F238E27FC236}">
                <a16:creationId xmlns:a16="http://schemas.microsoft.com/office/drawing/2014/main" id="{4B6E63D5-869B-2516-3805-9C63EFDF8CFD}"/>
              </a:ext>
            </a:extLst>
          </xdr:cNvPr>
          <xdr:cNvSpPr/>
        </xdr:nvSpPr>
        <xdr:spPr>
          <a:xfrm>
            <a:off x="4127500" y="9464179"/>
            <a:ext cx="2698750" cy="84336"/>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60" name="VBA_Midspan_Input_CLT_B_2_0">
            <a:extLst>
              <a:ext uri="{FF2B5EF4-FFF2-40B4-BE49-F238E27FC236}">
                <a16:creationId xmlns:a16="http://schemas.microsoft.com/office/drawing/2014/main" id="{D85F927C-35E6-61EA-7632-735065FB2054}"/>
              </a:ext>
            </a:extLst>
          </xdr:cNvPr>
          <xdr:cNvSpPr/>
        </xdr:nvSpPr>
        <xdr:spPr>
          <a:xfrm>
            <a:off x="4127500" y="954851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61" name="VBA_Midspan_Input_CLT_B_2_1">
            <a:extLst>
              <a:ext uri="{FF2B5EF4-FFF2-40B4-BE49-F238E27FC236}">
                <a16:creationId xmlns:a16="http://schemas.microsoft.com/office/drawing/2014/main" id="{B2E5BFA6-77C5-2602-789F-F0C2169A425F}"/>
              </a:ext>
            </a:extLst>
          </xdr:cNvPr>
          <xdr:cNvSpPr/>
        </xdr:nvSpPr>
        <xdr:spPr>
          <a:xfrm>
            <a:off x="4667250" y="954851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62" name="VBA_Midspan_Input_CLT_B_2_2">
            <a:extLst>
              <a:ext uri="{FF2B5EF4-FFF2-40B4-BE49-F238E27FC236}">
                <a16:creationId xmlns:a16="http://schemas.microsoft.com/office/drawing/2014/main" id="{8FEC8975-040B-5B34-5E26-1AED1CF5C1F9}"/>
              </a:ext>
            </a:extLst>
          </xdr:cNvPr>
          <xdr:cNvSpPr/>
        </xdr:nvSpPr>
        <xdr:spPr>
          <a:xfrm>
            <a:off x="5207000" y="954851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63" name="VBA_Midspan_Input_CLT_B_2_3">
            <a:extLst>
              <a:ext uri="{FF2B5EF4-FFF2-40B4-BE49-F238E27FC236}">
                <a16:creationId xmlns:a16="http://schemas.microsoft.com/office/drawing/2014/main" id="{7A1775CB-726D-3349-E054-1A3EF2E8DF73}"/>
              </a:ext>
            </a:extLst>
          </xdr:cNvPr>
          <xdr:cNvSpPr/>
        </xdr:nvSpPr>
        <xdr:spPr>
          <a:xfrm>
            <a:off x="5746750" y="9548515"/>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1364" name="VBA_Midspan_Input_CLT_B_2_4">
            <a:extLst>
              <a:ext uri="{FF2B5EF4-FFF2-40B4-BE49-F238E27FC236}">
                <a16:creationId xmlns:a16="http://schemas.microsoft.com/office/drawing/2014/main" id="{A4FFAAB4-3029-FE13-58B2-80FA1FA3A84C}"/>
              </a:ext>
            </a:extLst>
          </xdr:cNvPr>
          <xdr:cNvSpPr/>
        </xdr:nvSpPr>
        <xdr:spPr>
          <a:xfrm>
            <a:off x="6286500" y="9548515"/>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65" name="VBA_Midspan_Input_CLT_Sup">
            <a:extLst>
              <a:ext uri="{FF2B5EF4-FFF2-40B4-BE49-F238E27FC236}">
                <a16:creationId xmlns:a16="http://schemas.microsoft.com/office/drawing/2014/main" id="{0202C86A-CEC5-78BE-1702-BD45702732F4}"/>
              </a:ext>
            </a:extLst>
          </xdr:cNvPr>
          <xdr:cNvCxnSpPr/>
        </xdr:nvCxnSpPr>
        <xdr:spPr>
          <a:xfrm>
            <a:off x="4127500" y="9337675"/>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11366" name="VBA_Midspan_Input_CLT_Inf">
            <a:extLst>
              <a:ext uri="{FF2B5EF4-FFF2-40B4-BE49-F238E27FC236}">
                <a16:creationId xmlns:a16="http://schemas.microsoft.com/office/drawing/2014/main" id="{9C2DF3F1-7FC8-D64F-E783-63BB2158B01A}"/>
              </a:ext>
            </a:extLst>
          </xdr:cNvPr>
          <xdr:cNvCxnSpPr/>
        </xdr:nvCxnSpPr>
        <xdr:spPr>
          <a:xfrm>
            <a:off x="4127500" y="9675019"/>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11367" name="VBA_Midspan_Input_CLT_SX">
            <a:extLst>
              <a:ext uri="{FF2B5EF4-FFF2-40B4-BE49-F238E27FC236}">
                <a16:creationId xmlns:a16="http://schemas.microsoft.com/office/drawing/2014/main" id="{1672C79F-C1E3-1426-833F-3F4DAF6F1403}"/>
              </a:ext>
            </a:extLst>
          </xdr:cNvPr>
          <xdr:cNvCxnSpPr/>
        </xdr:nvCxnSpPr>
        <xdr:spPr>
          <a:xfrm>
            <a:off x="4127500" y="9337675"/>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368" name="VBA_Midspan_Input_CLT_DX">
            <a:extLst>
              <a:ext uri="{FF2B5EF4-FFF2-40B4-BE49-F238E27FC236}">
                <a16:creationId xmlns:a16="http://schemas.microsoft.com/office/drawing/2014/main" id="{99ECF1B7-ADF9-F7F2-7A18-9620B624513E}"/>
              </a:ext>
            </a:extLst>
          </xdr:cNvPr>
          <xdr:cNvCxnSpPr/>
        </xdr:nvCxnSpPr>
        <xdr:spPr>
          <a:xfrm>
            <a:off x="6826250" y="9337675"/>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1369" name="VBA_Midspan_Input_Trave">
            <a:extLst>
              <a:ext uri="{FF2B5EF4-FFF2-40B4-BE49-F238E27FC236}">
                <a16:creationId xmlns:a16="http://schemas.microsoft.com/office/drawing/2014/main" id="{22C244C3-40ED-AA96-27C4-20072E25D1B3}"/>
              </a:ext>
            </a:extLst>
          </xdr:cNvPr>
          <xdr:cNvSpPr/>
        </xdr:nvSpPr>
        <xdr:spPr>
          <a:xfrm>
            <a:off x="5139531" y="9675019"/>
            <a:ext cx="674688" cy="539750"/>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70" name="VBA_Midspan_Input_GL_L_1">
            <a:extLst>
              <a:ext uri="{FF2B5EF4-FFF2-40B4-BE49-F238E27FC236}">
                <a16:creationId xmlns:a16="http://schemas.microsoft.com/office/drawing/2014/main" id="{07DE7069-10D8-F7E0-32EF-D059EDD7348C}"/>
              </a:ext>
            </a:extLst>
          </xdr:cNvPr>
          <xdr:cNvCxnSpPr/>
        </xdr:nvCxnSpPr>
        <xdr:spPr>
          <a:xfrm>
            <a:off x="5139531" y="9854936"/>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71" name="VBA_Midspan_Input_GL_L_2">
            <a:extLst>
              <a:ext uri="{FF2B5EF4-FFF2-40B4-BE49-F238E27FC236}">
                <a16:creationId xmlns:a16="http://schemas.microsoft.com/office/drawing/2014/main" id="{FF754382-82F8-CDB9-B5CD-64ADA9E11698}"/>
              </a:ext>
            </a:extLst>
          </xdr:cNvPr>
          <xdr:cNvCxnSpPr/>
        </xdr:nvCxnSpPr>
        <xdr:spPr>
          <a:xfrm>
            <a:off x="5139531" y="10034852"/>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11372" name="VBA_Midspan_Input_Bordo_SX">
            <a:extLst>
              <a:ext uri="{FF2B5EF4-FFF2-40B4-BE49-F238E27FC236}">
                <a16:creationId xmlns:a16="http://schemas.microsoft.com/office/drawing/2014/main" id="{57D0DC64-856D-1EAE-4CD8-CFF94FDBB065}"/>
              </a:ext>
            </a:extLst>
          </xdr:cNvPr>
          <xdr:cNvCxnSpPr/>
        </xdr:nvCxnSpPr>
        <xdr:spPr>
          <a:xfrm>
            <a:off x="5139531" y="9675019"/>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11373" name="VBA_Midspan_Input_Bordo_DX">
            <a:extLst>
              <a:ext uri="{FF2B5EF4-FFF2-40B4-BE49-F238E27FC236}">
                <a16:creationId xmlns:a16="http://schemas.microsoft.com/office/drawing/2014/main" id="{DB23CBF5-70E7-6CEA-E427-E57311550DF9}"/>
              </a:ext>
            </a:extLst>
          </xdr:cNvPr>
          <xdr:cNvCxnSpPr/>
        </xdr:nvCxnSpPr>
        <xdr:spPr>
          <a:xfrm>
            <a:off x="5814219" y="9675019"/>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11374" name="VBA_Midspan_Input_Bordo_Sup">
            <a:extLst>
              <a:ext uri="{FF2B5EF4-FFF2-40B4-BE49-F238E27FC236}">
                <a16:creationId xmlns:a16="http://schemas.microsoft.com/office/drawing/2014/main" id="{188EB8F1-D57A-BD97-4E95-6F6E68785DEB}"/>
              </a:ext>
            </a:extLst>
          </xdr:cNvPr>
          <xdr:cNvCxnSpPr/>
        </xdr:nvCxnSpPr>
        <xdr:spPr>
          <a:xfrm>
            <a:off x="5139531" y="9675019"/>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11375" name="VBA_Midspan_Input_BordoTaglio">
            <a:extLst>
              <a:ext uri="{FF2B5EF4-FFF2-40B4-BE49-F238E27FC236}">
                <a16:creationId xmlns:a16="http://schemas.microsoft.com/office/drawing/2014/main" id="{72CC591A-101D-1B3E-976E-C97168DAA3CF}"/>
              </a:ext>
            </a:extLst>
          </xdr:cNvPr>
          <xdr:cNvCxnSpPr/>
        </xdr:nvCxnSpPr>
        <xdr:spPr>
          <a:xfrm>
            <a:off x="5139531" y="10214769"/>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1376" name="VBA_Midspan_Input_SharpMetal_1">
            <a:extLst>
              <a:ext uri="{FF2B5EF4-FFF2-40B4-BE49-F238E27FC236}">
                <a16:creationId xmlns:a16="http://schemas.microsoft.com/office/drawing/2014/main" id="{70B6AC04-08C4-5B9A-074C-1A6A959780FA}"/>
              </a:ext>
            </a:extLst>
          </xdr:cNvPr>
          <xdr:cNvSpPr/>
        </xdr:nvSpPr>
        <xdr:spPr>
          <a:xfrm>
            <a:off x="5371455" y="9658152"/>
            <a:ext cx="210840" cy="33734"/>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1377" name="VBA_Midspan_Input_ViteTBS_1">
            <a:extLst>
              <a:ext uri="{FF2B5EF4-FFF2-40B4-BE49-F238E27FC236}">
                <a16:creationId xmlns:a16="http://schemas.microsoft.com/office/drawing/2014/main" id="{26C6E610-B138-0E8D-0055-6F201D3365ED}"/>
              </a:ext>
            </a:extLst>
          </xdr:cNvPr>
          <xdr:cNvCxnSpPr/>
        </xdr:nvCxnSpPr>
        <xdr:spPr>
          <a:xfrm>
            <a:off x="5476875" y="9337675"/>
            <a:ext cx="0" cy="834926"/>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11378" name="VBA_Midspan_Input_TestaTBS_1">
            <a:extLst>
              <a:ext uri="{FF2B5EF4-FFF2-40B4-BE49-F238E27FC236}">
                <a16:creationId xmlns:a16="http://schemas.microsoft.com/office/drawing/2014/main" id="{EDACBCC4-18E5-F6C3-C8A4-98EF22C86F85}"/>
              </a:ext>
            </a:extLst>
          </xdr:cNvPr>
          <xdr:cNvCxnSpPr/>
        </xdr:nvCxnSpPr>
        <xdr:spPr>
          <a:xfrm>
            <a:off x="5451574" y="9337675"/>
            <a:ext cx="50602"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11379" name="VBA_Midspan_Input_QLine_25">
            <a:extLst>
              <a:ext uri="{FF2B5EF4-FFF2-40B4-BE49-F238E27FC236}">
                <a16:creationId xmlns:a16="http://schemas.microsoft.com/office/drawing/2014/main" id="{10ECA53E-E378-B115-EF7F-63FC108C6C0E}"/>
              </a:ext>
            </a:extLst>
          </xdr:cNvPr>
          <xdr:cNvCxnSpPr/>
        </xdr:nvCxnSpPr>
        <xdr:spPr>
          <a:xfrm>
            <a:off x="5371455" y="9564886"/>
            <a:ext cx="21084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80" name="VBA_Midspan_Input_QText_26">
            <a:extLst>
              <a:ext uri="{FF2B5EF4-FFF2-40B4-BE49-F238E27FC236}">
                <a16:creationId xmlns:a16="http://schemas.microsoft.com/office/drawing/2014/main" id="{5C3AF0B7-9DA9-71A6-D3A6-918ED93CB305}"/>
              </a:ext>
            </a:extLst>
          </xdr:cNvPr>
          <xdr:cNvSpPr txBox="1"/>
        </xdr:nvSpPr>
        <xdr:spPr>
          <a:xfrm>
            <a:off x="5127625" y="9412486"/>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11381" name="VBA_Midspan_Input_QLine_27">
            <a:extLst>
              <a:ext uri="{FF2B5EF4-FFF2-40B4-BE49-F238E27FC236}">
                <a16:creationId xmlns:a16="http://schemas.microsoft.com/office/drawing/2014/main" id="{92034739-4819-017E-B7B6-46ABC603A9F8}"/>
              </a:ext>
            </a:extLst>
          </xdr:cNvPr>
          <xdr:cNvCxnSpPr/>
        </xdr:nvCxnSpPr>
        <xdr:spPr>
          <a:xfrm>
            <a:off x="5582295" y="9179719"/>
            <a:ext cx="23192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82" name="VBA_Midspan_Input_QText_28">
            <a:extLst>
              <a:ext uri="{FF2B5EF4-FFF2-40B4-BE49-F238E27FC236}">
                <a16:creationId xmlns:a16="http://schemas.microsoft.com/office/drawing/2014/main" id="{39CD42FF-FC7E-2972-0DC7-4A4D33DBDF80}"/>
              </a:ext>
            </a:extLst>
          </xdr:cNvPr>
          <xdr:cNvSpPr txBox="1"/>
        </xdr:nvSpPr>
        <xdr:spPr>
          <a:xfrm>
            <a:off x="5349007" y="9027319"/>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27 mm</a:t>
            </a:r>
          </a:p>
        </xdr:txBody>
      </xdr:sp>
      <xdr:cxnSp macro="">
        <xdr:nvCxnSpPr>
          <xdr:cNvPr id="11383" name="VBA_Midspan_Input_QLine_29">
            <a:extLst>
              <a:ext uri="{FF2B5EF4-FFF2-40B4-BE49-F238E27FC236}">
                <a16:creationId xmlns:a16="http://schemas.microsoft.com/office/drawing/2014/main" id="{EA4BE11B-30B5-4ED1-25DE-6AD230252825}"/>
              </a:ext>
            </a:extLst>
          </xdr:cNvPr>
          <xdr:cNvCxnSpPr/>
        </xdr:nvCxnSpPr>
        <xdr:spPr>
          <a:xfrm>
            <a:off x="5139531" y="10405269"/>
            <a:ext cx="33734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11384" name="VBA_Midspan_Input_QText_30">
            <a:extLst>
              <a:ext uri="{FF2B5EF4-FFF2-40B4-BE49-F238E27FC236}">
                <a16:creationId xmlns:a16="http://schemas.microsoft.com/office/drawing/2014/main" id="{6B855B5B-4371-EA8E-B571-5A5EDF666770}"/>
              </a:ext>
            </a:extLst>
          </xdr:cNvPr>
          <xdr:cNvSpPr txBox="1"/>
        </xdr:nvSpPr>
        <xdr:spPr>
          <a:xfrm>
            <a:off x="4958953" y="10252869"/>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80 mm</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335</xdr:colOff>
      <xdr:row>0</xdr:row>
      <xdr:rowOff>0</xdr:rowOff>
    </xdr:from>
    <xdr:to>
      <xdr:col>3</xdr:col>
      <xdr:colOff>30480</xdr:colOff>
      <xdr:row>1</xdr:row>
      <xdr:rowOff>3475</xdr:rowOff>
    </xdr:to>
    <xdr:pic macro="[0]!ExportPDF">
      <xdr:nvPicPr>
        <xdr:cNvPr id="4" name="Picture 3" descr="Download with solid fill">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1234775" y="0"/>
          <a:ext cx="574975" cy="574975"/>
        </a:xfrm>
        <a:prstGeom prst="rect">
          <a:avLst/>
        </a:prstGeom>
      </xdr:spPr>
    </xdr:pic>
    <xdr:clientData fPrintsWithSheet="0"/>
  </xdr:twoCellAnchor>
  <xdr:twoCellAnchor editAs="absolute">
    <xdr:from>
      <xdr:col>3</xdr:col>
      <xdr:colOff>29057</xdr:colOff>
      <xdr:row>0</xdr:row>
      <xdr:rowOff>0</xdr:rowOff>
    </xdr:from>
    <xdr:to>
      <xdr:col>4</xdr:col>
      <xdr:colOff>29819</xdr:colOff>
      <xdr:row>1</xdr:row>
      <xdr:rowOff>31242</xdr:rowOff>
    </xdr:to>
    <xdr:pic macro="[0]!SaveDoc">
      <xdr:nvPicPr>
        <xdr:cNvPr id="5" name="Picture 5245" descr="Disk with solid fill">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flipH="1">
          <a:off x="1814042" y="0"/>
          <a:ext cx="570357" cy="576072"/>
        </a:xfrm>
        <a:prstGeom prst="rect">
          <a:avLst/>
        </a:prstGeom>
      </xdr:spPr>
    </xdr:pic>
    <xdr:clientData fPrintsWithSheet="0"/>
  </xdr:twoCellAnchor>
  <xdr:oneCellAnchor>
    <xdr:from>
      <xdr:col>1</xdr:col>
      <xdr:colOff>1</xdr:colOff>
      <xdr:row>13</xdr:row>
      <xdr:rowOff>0</xdr:rowOff>
    </xdr:from>
    <xdr:ext cx="7056782" cy="289891"/>
    <mc:AlternateContent xmlns:mc="http://schemas.openxmlformats.org/markup-compatibility/2006" xmlns:a14="http://schemas.microsoft.com/office/drawing/2010/main">
      <mc:Choice Requires="a14">
        <xdr:sp macro="" textlink="">
          <xdr:nvSpPr>
            <xdr:cNvPr id="124" name="CasellaDiTesto 2">
              <a:extLst>
                <a:ext uri="{FF2B5EF4-FFF2-40B4-BE49-F238E27FC236}">
                  <a16:creationId xmlns:a16="http://schemas.microsoft.com/office/drawing/2014/main" id="{00000000-0008-0000-0400-00007C000000}"/>
                </a:ext>
              </a:extLst>
            </xdr:cNvPr>
            <xdr:cNvSpPr txBox="1"/>
          </xdr:nvSpPr>
          <xdr:spPr>
            <a:xfrm>
              <a:off x="95251" y="1000125"/>
              <a:ext cx="7056782" cy="289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 xmlns:m="http://schemas.openxmlformats.org/officeDocument/2006/math">
                  <m:f>
                    <m:fPr>
                      <m:type m:val="skw"/>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a:rPr>
                            <m:t>𝑆</m:t>
                          </m:r>
                        </m:e>
                        <m:sub>
                          <m:r>
                            <a:rPr lang="it-IT" sz="1100" b="0" i="1">
                              <a:latin typeface="Cambria Math"/>
                            </a:rPr>
                            <m:t>𝑑</m:t>
                          </m:r>
                        </m:sub>
                      </m:sSub>
                    </m:num>
                    <m:den>
                      <m:sSub>
                        <m:sSubPr>
                          <m:ctrlPr>
                            <a:rPr lang="it-IT" sz="1100" b="0" i="1">
                              <a:latin typeface="Cambria Math" panose="02040503050406030204" pitchFamily="18" charset="0"/>
                            </a:rPr>
                          </m:ctrlPr>
                        </m:sSubPr>
                        <m:e>
                          <m:r>
                            <a:rPr lang="it-IT" sz="1100" b="0" i="1">
                              <a:latin typeface="Cambria Math"/>
                            </a:rPr>
                            <m:t>𝑅</m:t>
                          </m:r>
                        </m:e>
                        <m:sub>
                          <m:r>
                            <a:rPr lang="it-IT" sz="1100" b="0" i="1">
                              <a:latin typeface="Cambria Math"/>
                            </a:rPr>
                            <m:t>𝑑</m:t>
                          </m:r>
                        </m:sub>
                      </m:sSub>
                    </m:den>
                  </m:f>
                  <m:r>
                    <a:rPr lang="it-IT" sz="1100" b="0" i="1">
                      <a:latin typeface="Cambria Math"/>
                      <a:ea typeface="Cambria Math"/>
                    </a:rPr>
                    <m:t>≤1</m:t>
                  </m:r>
                </m:oMath>
              </a14:m>
              <a:r>
                <a:rPr lang="it-IT" sz="1100"/>
                <a:t>00%</a:t>
              </a:r>
            </a:p>
          </xdr:txBody>
        </xdr:sp>
      </mc:Choice>
      <mc:Fallback xmlns="">
        <xdr:sp macro="" textlink="">
          <xdr:nvSpPr>
            <xdr:cNvPr id="124" name="CasellaDiTesto 2">
              <a:extLst>
                <a:ext uri="{FF2B5EF4-FFF2-40B4-BE49-F238E27FC236}">
                  <a16:creationId xmlns:a16="http://schemas.microsoft.com/office/drawing/2014/main" id="{8BCB1945-4257-4827-AF22-7A1EB8AC426A}"/>
                </a:ext>
              </a:extLst>
            </xdr:cNvPr>
            <xdr:cNvSpPr txBox="1"/>
          </xdr:nvSpPr>
          <xdr:spPr>
            <a:xfrm>
              <a:off x="95251" y="1000125"/>
              <a:ext cx="7056782" cy="289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a:rPr>
                <a:t>𝑆</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a:t>
              </a:r>
              <a:r>
                <a:rPr lang="it-IT" sz="1100" b="0" i="0">
                  <a:latin typeface="Cambria Math"/>
                </a:rPr>
                <a:t>𝑅</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 </a:t>
              </a:r>
              <a:r>
                <a:rPr lang="it-IT" sz="1100" b="0" i="0">
                  <a:latin typeface="Cambria Math"/>
                  <a:ea typeface="Cambria Math"/>
                </a:rPr>
                <a:t>≤1</a:t>
              </a:r>
              <a:r>
                <a:rPr lang="it-IT" sz="1100"/>
                <a:t>00%</a:t>
              </a:r>
            </a:p>
          </xdr:txBody>
        </xdr:sp>
      </mc:Fallback>
    </mc:AlternateContent>
    <xdr:clientData/>
  </xdr:oneCellAnchor>
  <xdr:oneCellAnchor>
    <xdr:from>
      <xdr:col>1</xdr:col>
      <xdr:colOff>1</xdr:colOff>
      <xdr:row>28</xdr:row>
      <xdr:rowOff>1</xdr:rowOff>
    </xdr:from>
    <xdr:ext cx="7056782" cy="289892"/>
    <mc:AlternateContent xmlns:mc="http://schemas.openxmlformats.org/markup-compatibility/2006" xmlns:a14="http://schemas.microsoft.com/office/drawing/2010/main">
      <mc:Choice Requires="a14">
        <xdr:sp macro="" textlink="">
          <xdr:nvSpPr>
            <xdr:cNvPr id="128" name="CasellaDiTesto 2">
              <a:extLst>
                <a:ext uri="{FF2B5EF4-FFF2-40B4-BE49-F238E27FC236}">
                  <a16:creationId xmlns:a16="http://schemas.microsoft.com/office/drawing/2014/main" id="{00000000-0008-0000-0400-000080000000}"/>
                </a:ext>
              </a:extLst>
            </xdr:cNvPr>
            <xdr:cNvSpPr txBox="1"/>
          </xdr:nvSpPr>
          <xdr:spPr>
            <a:xfrm>
              <a:off x="95251" y="3238501"/>
              <a:ext cx="7056782" cy="289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 xmlns:m="http://schemas.openxmlformats.org/officeDocument/2006/math">
                  <m:f>
                    <m:fPr>
                      <m:type m:val="skw"/>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a:rPr>
                            <m:t>𝑆</m:t>
                          </m:r>
                        </m:e>
                        <m:sub>
                          <m:r>
                            <a:rPr lang="it-IT" sz="1100" b="0" i="1">
                              <a:latin typeface="Cambria Math"/>
                            </a:rPr>
                            <m:t>𝑑</m:t>
                          </m:r>
                        </m:sub>
                      </m:sSub>
                    </m:num>
                    <m:den>
                      <m:sSub>
                        <m:sSubPr>
                          <m:ctrlPr>
                            <a:rPr lang="it-IT" sz="1100" b="0" i="1">
                              <a:latin typeface="Cambria Math" panose="02040503050406030204" pitchFamily="18" charset="0"/>
                            </a:rPr>
                          </m:ctrlPr>
                        </m:sSubPr>
                        <m:e>
                          <m:r>
                            <a:rPr lang="it-IT" sz="1100" b="0" i="1">
                              <a:latin typeface="Cambria Math"/>
                            </a:rPr>
                            <m:t>𝑅</m:t>
                          </m:r>
                        </m:e>
                        <m:sub>
                          <m:r>
                            <a:rPr lang="it-IT" sz="1100" b="0" i="1">
                              <a:latin typeface="Cambria Math"/>
                            </a:rPr>
                            <m:t>𝑑</m:t>
                          </m:r>
                        </m:sub>
                      </m:sSub>
                    </m:den>
                  </m:f>
                  <m:r>
                    <a:rPr lang="it-IT" sz="1100" b="0" i="1">
                      <a:latin typeface="Cambria Math"/>
                      <a:ea typeface="Cambria Math"/>
                    </a:rPr>
                    <m:t>≤1</m:t>
                  </m:r>
                </m:oMath>
              </a14:m>
              <a:r>
                <a:rPr lang="it-IT" sz="1100"/>
                <a:t>00%</a:t>
              </a:r>
            </a:p>
          </xdr:txBody>
        </xdr:sp>
      </mc:Choice>
      <mc:Fallback xmlns="">
        <xdr:sp macro="" textlink="">
          <xdr:nvSpPr>
            <xdr:cNvPr id="128" name="CasellaDiTesto 2">
              <a:extLst>
                <a:ext uri="{FF2B5EF4-FFF2-40B4-BE49-F238E27FC236}">
                  <a16:creationId xmlns:a16="http://schemas.microsoft.com/office/drawing/2014/main" id="{A2296E02-D7D3-42EA-9F51-A89D478180C1}"/>
                </a:ext>
              </a:extLst>
            </xdr:cNvPr>
            <xdr:cNvSpPr txBox="1"/>
          </xdr:nvSpPr>
          <xdr:spPr>
            <a:xfrm>
              <a:off x="95251" y="3238501"/>
              <a:ext cx="7056782" cy="289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a:rPr>
                <a:t>𝑆</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a:t>
              </a:r>
              <a:r>
                <a:rPr lang="it-IT" sz="1100" b="0" i="0">
                  <a:latin typeface="Cambria Math"/>
                </a:rPr>
                <a:t>𝑅</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 </a:t>
              </a:r>
              <a:r>
                <a:rPr lang="it-IT" sz="1100" b="0" i="0">
                  <a:latin typeface="Cambria Math"/>
                  <a:ea typeface="Cambria Math"/>
                </a:rPr>
                <a:t>≤1</a:t>
              </a:r>
              <a:r>
                <a:rPr lang="it-IT" sz="1100"/>
                <a:t>00%</a:t>
              </a:r>
            </a:p>
          </xdr:txBody>
        </xdr:sp>
      </mc:Fallback>
    </mc:AlternateContent>
    <xdr:clientData/>
  </xdr:oneCellAnchor>
  <xdr:oneCellAnchor>
    <xdr:from>
      <xdr:col>1</xdr:col>
      <xdr:colOff>0</xdr:colOff>
      <xdr:row>50</xdr:row>
      <xdr:rowOff>0</xdr:rowOff>
    </xdr:from>
    <xdr:ext cx="7056782" cy="273326"/>
    <mc:AlternateContent xmlns:mc="http://schemas.openxmlformats.org/markup-compatibility/2006" xmlns:a14="http://schemas.microsoft.com/office/drawing/2010/main">
      <mc:Choice Requires="a14">
        <xdr:sp macro="" textlink="">
          <xdr:nvSpPr>
            <xdr:cNvPr id="135" name="CasellaDiTesto 2">
              <a:extLst>
                <a:ext uri="{FF2B5EF4-FFF2-40B4-BE49-F238E27FC236}">
                  <a16:creationId xmlns:a16="http://schemas.microsoft.com/office/drawing/2014/main" id="{00000000-0008-0000-0400-000087000000}"/>
                </a:ext>
              </a:extLst>
            </xdr:cNvPr>
            <xdr:cNvSpPr txBox="1"/>
          </xdr:nvSpPr>
          <xdr:spPr>
            <a:xfrm>
              <a:off x="95250" y="6513635"/>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𝑞</m:t>
                        </m:r>
                        <m:r>
                          <a:rPr lang="it-IT" sz="1100" b="0" i="1">
                            <a:latin typeface="Cambria Math" panose="02040503050406030204" pitchFamily="18" charset="0"/>
                          </a:rPr>
                          <m:t>,</m:t>
                        </m:r>
                        <m:r>
                          <a:rPr lang="it-IT" sz="1100" b="0" i="1">
                            <a:latin typeface="Cambria Math" panose="02040503050406030204" pitchFamily="18" charset="0"/>
                          </a:rPr>
                          <m:t>𝑖𝑛𝑠𝑡</m:t>
                        </m:r>
                      </m:sub>
                    </m:sSub>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𝑢</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35" name="CasellaDiTesto 2">
              <a:extLst>
                <a:ext uri="{FF2B5EF4-FFF2-40B4-BE49-F238E27FC236}">
                  <a16:creationId xmlns:a16="http://schemas.microsoft.com/office/drawing/2014/main" id="{5B0E4D94-3024-40BE-8897-DA899D2A5158}"/>
                </a:ext>
              </a:extLst>
            </xdr:cNvPr>
            <xdr:cNvSpPr txBox="1"/>
          </xdr:nvSpPr>
          <xdr:spPr>
            <a:xfrm>
              <a:off x="95250" y="6513635"/>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𝑢_(𝑞,𝑖𝑛𝑠𝑡)</a:t>
              </a:r>
              <a:r>
                <a:rPr lang="it-IT" sz="1100" b="0" i="0">
                  <a:latin typeface="Cambria Math"/>
                  <a:ea typeface="Cambria Math"/>
                </a:rPr>
                <a:t>≤</a:t>
              </a:r>
              <a:r>
                <a:rPr lang="it-IT" sz="1100" b="0" i="0">
                  <a:latin typeface="Cambria Math" panose="02040503050406030204" pitchFamily="18" charset="0"/>
                  <a:ea typeface="Cambria Math"/>
                </a:rPr>
                <a:t>𝑢_𝑙𝑖𝑚</a:t>
              </a:r>
              <a:endParaRPr lang="it-IT" sz="1100"/>
            </a:p>
          </xdr:txBody>
        </xdr:sp>
      </mc:Fallback>
    </mc:AlternateContent>
    <xdr:clientData/>
  </xdr:oneCellAnchor>
  <xdr:oneCellAnchor>
    <xdr:from>
      <xdr:col>1</xdr:col>
      <xdr:colOff>1</xdr:colOff>
      <xdr:row>58</xdr:row>
      <xdr:rowOff>1</xdr:rowOff>
    </xdr:from>
    <xdr:ext cx="7056782" cy="273326"/>
    <mc:AlternateContent xmlns:mc="http://schemas.openxmlformats.org/markup-compatibility/2006" xmlns:a14="http://schemas.microsoft.com/office/drawing/2010/main">
      <mc:Choice Requires="a14">
        <xdr:sp macro="" textlink="">
          <xdr:nvSpPr>
            <xdr:cNvPr id="136" name="CasellaDiTesto 2">
              <a:extLst>
                <a:ext uri="{FF2B5EF4-FFF2-40B4-BE49-F238E27FC236}">
                  <a16:creationId xmlns:a16="http://schemas.microsoft.com/office/drawing/2014/main" id="{00000000-0008-0000-0400-000088000000}"/>
                </a:ext>
              </a:extLst>
            </xdr:cNvPr>
            <xdr:cNvSpPr txBox="1"/>
          </xdr:nvSpPr>
          <xdr:spPr>
            <a:xfrm>
              <a:off x="95251" y="7762876"/>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𝑓𝑖𝑛</m:t>
                        </m:r>
                      </m:sub>
                    </m:sSub>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𝑢</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36" name="CasellaDiTesto 2">
              <a:extLst>
                <a:ext uri="{FF2B5EF4-FFF2-40B4-BE49-F238E27FC236}">
                  <a16:creationId xmlns:a16="http://schemas.microsoft.com/office/drawing/2014/main" id="{EFE5D52E-BCBE-4896-9B22-C49005D35E53}"/>
                </a:ext>
              </a:extLst>
            </xdr:cNvPr>
            <xdr:cNvSpPr txBox="1"/>
          </xdr:nvSpPr>
          <xdr:spPr>
            <a:xfrm>
              <a:off x="95251" y="7762876"/>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𝑢_𝑓𝑖𝑛</a:t>
              </a:r>
              <a:r>
                <a:rPr lang="it-IT" sz="1100" b="0" i="0">
                  <a:latin typeface="Cambria Math"/>
                  <a:ea typeface="Cambria Math"/>
                </a:rPr>
                <a:t>≤</a:t>
              </a:r>
              <a:r>
                <a:rPr lang="it-IT" sz="1100" b="0" i="0">
                  <a:latin typeface="Cambria Math" panose="02040503050406030204" pitchFamily="18" charset="0"/>
                  <a:ea typeface="Cambria Math"/>
                </a:rPr>
                <a:t>𝑢_𝑙𝑖𝑚</a:t>
              </a:r>
              <a:endParaRPr lang="it-IT" sz="1100"/>
            </a:p>
          </xdr:txBody>
        </xdr:sp>
      </mc:Fallback>
    </mc:AlternateContent>
    <xdr:clientData/>
  </xdr:oneCellAnchor>
  <xdr:oneCellAnchor>
    <xdr:from>
      <xdr:col>1</xdr:col>
      <xdr:colOff>1</xdr:colOff>
      <xdr:row>68</xdr:row>
      <xdr:rowOff>1</xdr:rowOff>
    </xdr:from>
    <xdr:ext cx="7056782" cy="273326"/>
    <mc:AlternateContent xmlns:mc="http://schemas.openxmlformats.org/markup-compatibility/2006" xmlns:a14="http://schemas.microsoft.com/office/drawing/2010/main">
      <mc:Choice Requires="a14">
        <xdr:sp macro="" textlink="">
          <xdr:nvSpPr>
            <xdr:cNvPr id="147" name="CasellaDiTesto 2">
              <a:extLst>
                <a:ext uri="{FF2B5EF4-FFF2-40B4-BE49-F238E27FC236}">
                  <a16:creationId xmlns:a16="http://schemas.microsoft.com/office/drawing/2014/main" id="{00000000-0008-0000-0400-000093000000}"/>
                </a:ext>
              </a:extLst>
            </xdr:cNvPr>
            <xdr:cNvSpPr txBox="1"/>
          </xdr:nvSpPr>
          <xdr:spPr>
            <a:xfrm>
              <a:off x="95251" y="90297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𝑤</m:t>
                    </m:r>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𝑤</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47" name="CasellaDiTesto 2">
              <a:extLst>
                <a:ext uri="{FF2B5EF4-FFF2-40B4-BE49-F238E27FC236}">
                  <a16:creationId xmlns:a16="http://schemas.microsoft.com/office/drawing/2014/main" id="{275F9339-BC79-4C86-8214-735BA9110E43}"/>
                </a:ext>
              </a:extLst>
            </xdr:cNvPr>
            <xdr:cNvSpPr txBox="1"/>
          </xdr:nvSpPr>
          <xdr:spPr>
            <a:xfrm>
              <a:off x="95251" y="90297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𝑤</a:t>
              </a:r>
              <a:r>
                <a:rPr lang="it-IT" sz="1100" b="0" i="0">
                  <a:latin typeface="Cambria Math"/>
                  <a:ea typeface="Cambria Math"/>
                </a:rPr>
                <a:t>≤</a:t>
              </a:r>
              <a:r>
                <a:rPr lang="it-IT" sz="1100" b="0" i="0">
                  <a:latin typeface="Cambria Math" panose="02040503050406030204" pitchFamily="18" charset="0"/>
                  <a:ea typeface="Cambria Math"/>
                </a:rPr>
                <a:t>𝑤_𝑙𝑖𝑚</a:t>
              </a:r>
              <a:endParaRPr lang="it-IT" sz="1100"/>
            </a:p>
          </xdr:txBody>
        </xdr:sp>
      </mc:Fallback>
    </mc:AlternateContent>
    <xdr:clientData/>
  </xdr:oneCellAnchor>
  <xdr:oneCellAnchor>
    <xdr:from>
      <xdr:col>1</xdr:col>
      <xdr:colOff>1</xdr:colOff>
      <xdr:row>76</xdr:row>
      <xdr:rowOff>1</xdr:rowOff>
    </xdr:from>
    <xdr:ext cx="7056782" cy="273326"/>
    <mc:AlternateContent xmlns:mc="http://schemas.openxmlformats.org/markup-compatibility/2006" xmlns:a14="http://schemas.microsoft.com/office/drawing/2010/main">
      <mc:Choice Requires="a14">
        <xdr:sp macro="" textlink="">
          <xdr:nvSpPr>
            <xdr:cNvPr id="148" name="CasellaDiTesto 2">
              <a:extLst>
                <a:ext uri="{FF2B5EF4-FFF2-40B4-BE49-F238E27FC236}">
                  <a16:creationId xmlns:a16="http://schemas.microsoft.com/office/drawing/2014/main" id="{00000000-0008-0000-0400-000094000000}"/>
                </a:ext>
              </a:extLst>
            </xdr:cNvPr>
            <xdr:cNvSpPr txBox="1"/>
          </xdr:nvSpPr>
          <xdr:spPr>
            <a:xfrm>
              <a:off x="95251" y="102489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𝑣</m:t>
                    </m:r>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𝑣</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48" name="CasellaDiTesto 2">
              <a:extLst>
                <a:ext uri="{FF2B5EF4-FFF2-40B4-BE49-F238E27FC236}">
                  <a16:creationId xmlns:a16="http://schemas.microsoft.com/office/drawing/2014/main" id="{1A30DA39-8E4E-4597-82A0-36BD3C98E5D0}"/>
                </a:ext>
              </a:extLst>
            </xdr:cNvPr>
            <xdr:cNvSpPr txBox="1"/>
          </xdr:nvSpPr>
          <xdr:spPr>
            <a:xfrm>
              <a:off x="95251" y="102489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𝑣</a:t>
              </a:r>
              <a:r>
                <a:rPr lang="it-IT" sz="1100" b="0" i="0">
                  <a:latin typeface="Cambria Math"/>
                  <a:ea typeface="Cambria Math"/>
                </a:rPr>
                <a:t>≤</a:t>
              </a:r>
              <a:r>
                <a:rPr lang="it-IT" sz="1100" b="0" i="0">
                  <a:latin typeface="Cambria Math" panose="02040503050406030204" pitchFamily="18" charset="0"/>
                  <a:ea typeface="Cambria Math"/>
                </a:rPr>
                <a:t>𝑣_𝑙𝑖𝑚</a:t>
              </a:r>
              <a:endParaRPr lang="it-IT"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544</xdr:row>
      <xdr:rowOff>0</xdr:rowOff>
    </xdr:from>
    <xdr:to>
      <xdr:col>8</xdr:col>
      <xdr:colOff>225100</xdr:colOff>
      <xdr:row>546</xdr:row>
      <xdr:rowOff>0</xdr:rowOff>
    </xdr:to>
    <xdr:pic>
      <xdr:nvPicPr>
        <xdr:cNvPr id="9" name="Immagine 6" hidden="1">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1" cstate="print"/>
        <a:stretch>
          <a:fillRect/>
        </a:stretch>
      </xdr:blipFill>
      <xdr:spPr>
        <a:xfrm>
          <a:off x="495300" y="188337825"/>
          <a:ext cx="5048250" cy="2066723"/>
        </a:xfrm>
        <a:prstGeom prst="rect">
          <a:avLst/>
        </a:prstGeom>
      </xdr:spPr>
    </xdr:pic>
    <xdr:clientData/>
  </xdr:twoCellAnchor>
  <xdr:twoCellAnchor editAs="absolute">
    <xdr:from>
      <xdr:col>2</xdr:col>
      <xdr:colOff>0</xdr:colOff>
      <xdr:row>0</xdr:row>
      <xdr:rowOff>0</xdr:rowOff>
    </xdr:from>
    <xdr:to>
      <xdr:col>3</xdr:col>
      <xdr:colOff>36937</xdr:colOff>
      <xdr:row>1</xdr:row>
      <xdr:rowOff>328</xdr:rowOff>
    </xdr:to>
    <xdr:pic macro="[0]!ExportPDF">
      <xdr:nvPicPr>
        <xdr:cNvPr id="12" name="Picture 11" descr="Download with solid fill">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2"/>
        <a:stretch>
          <a:fillRect/>
        </a:stretch>
      </xdr:blipFill>
      <xdr:spPr>
        <a:xfrm>
          <a:off x="1266825" y="0"/>
          <a:ext cx="627487" cy="579448"/>
        </a:xfrm>
        <a:prstGeom prst="rect">
          <a:avLst/>
        </a:prstGeom>
      </xdr:spPr>
    </xdr:pic>
    <xdr:clientData fPrintsWithSheet="0"/>
  </xdr:twoCellAnchor>
  <xdr:twoCellAnchor editAs="absolute">
    <xdr:from>
      <xdr:col>0</xdr:col>
      <xdr:colOff>74308</xdr:colOff>
      <xdr:row>3</xdr:row>
      <xdr:rowOff>19050</xdr:rowOff>
    </xdr:from>
    <xdr:to>
      <xdr:col>5</xdr:col>
      <xdr:colOff>0</xdr:colOff>
      <xdr:row>5</xdr:row>
      <xdr:rowOff>19050</xdr:rowOff>
    </xdr:to>
    <xdr:pic>
      <xdr:nvPicPr>
        <xdr:cNvPr id="13" name="Picture 12">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308" y="962025"/>
          <a:ext cx="2964167"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xdr:row>
      <xdr:rowOff>0</xdr:rowOff>
    </xdr:from>
    <xdr:to>
      <xdr:col>12</xdr:col>
      <xdr:colOff>0</xdr:colOff>
      <xdr:row>4</xdr:row>
      <xdr:rowOff>0</xdr:rowOff>
    </xdr:to>
    <xdr:cxnSp macro="">
      <xdr:nvCxnSpPr>
        <xdr:cNvPr id="17" name="Straight Connector 16">
          <a:extLst>
            <a:ext uri="{FF2B5EF4-FFF2-40B4-BE49-F238E27FC236}">
              <a16:creationId xmlns:a16="http://schemas.microsoft.com/office/drawing/2014/main" id="{00000000-0008-0000-0500-000011000000}"/>
            </a:ext>
          </a:extLst>
        </xdr:cNvPr>
        <xdr:cNvCxnSpPr/>
      </xdr:nvCxnSpPr>
      <xdr:spPr>
        <a:xfrm flipH="1">
          <a:off x="3038475" y="866775"/>
          <a:ext cx="430530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14</xdr:row>
      <xdr:rowOff>0</xdr:rowOff>
    </xdr:from>
    <xdr:to>
      <xdr:col>2</xdr:col>
      <xdr:colOff>0</xdr:colOff>
      <xdr:row>32</xdr:row>
      <xdr:rowOff>819978</xdr:rowOff>
    </xdr:to>
    <xdr:cxnSp macro="">
      <xdr:nvCxnSpPr>
        <xdr:cNvPr id="18" name="Straight Connector 17">
          <a:extLst>
            <a:ext uri="{FF2B5EF4-FFF2-40B4-BE49-F238E27FC236}">
              <a16:creationId xmlns:a16="http://schemas.microsoft.com/office/drawing/2014/main" id="{00000000-0008-0000-0500-000012000000}"/>
            </a:ext>
          </a:extLst>
        </xdr:cNvPr>
        <xdr:cNvCxnSpPr/>
      </xdr:nvCxnSpPr>
      <xdr:spPr>
        <a:xfrm flipV="1">
          <a:off x="1267239" y="2990022"/>
          <a:ext cx="0" cy="6742043"/>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xdr:colOff>
      <xdr:row>32</xdr:row>
      <xdr:rowOff>691267</xdr:rowOff>
    </xdr:from>
    <xdr:to>
      <xdr:col>11</xdr:col>
      <xdr:colOff>1</xdr:colOff>
      <xdr:row>32</xdr:row>
      <xdr:rowOff>1724026</xdr:rowOff>
    </xdr:to>
    <xdr:sp macro="" textlink="">
      <xdr:nvSpPr>
        <xdr:cNvPr id="34" name="TextBox 33">
          <a:extLst>
            <a:ext uri="{FF2B5EF4-FFF2-40B4-BE49-F238E27FC236}">
              <a16:creationId xmlns:a16="http://schemas.microsoft.com/office/drawing/2014/main" id="{00000000-0008-0000-0500-000022000000}"/>
            </a:ext>
          </a:extLst>
        </xdr:cNvPr>
        <xdr:cNvSpPr txBox="1"/>
      </xdr:nvSpPr>
      <xdr:spPr>
        <a:xfrm>
          <a:off x="1267240" y="9603354"/>
          <a:ext cx="5574196" cy="1032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it-IT" sz="600" cap="none" baseline="0">
              <a:latin typeface="Verdana" panose="020B0604030504040204" pitchFamily="34" charset="0"/>
              <a:ea typeface="Verdana" panose="020B0604030504040204" pitchFamily="34" charset="0"/>
            </a:rPr>
            <a:t>Le verifiche sono effettuate in accordo con il D.M.  Infrastrutture  17/1/2008 e la C.M. 2/2/2009  n. 617 delC.S.LL.PP, integrate ove necessario con la UNI-EN 1995-1-1/2014. Le proprietà dei materiali fanno riferimento alle seguenti normative: UNI-EN 338:2016, UNI-EN 14080:2013.</a:t>
          </a:r>
        </a:p>
        <a:p>
          <a:endParaRPr lang="it-IT" sz="600" cap="none" baseline="0">
            <a:latin typeface="Verdana" panose="020B0604030504040204" pitchFamily="34" charset="0"/>
            <a:ea typeface="Verdana" panose="020B0604030504040204" pitchFamily="34" charset="0"/>
          </a:endParaRPr>
        </a:p>
        <a:p>
          <a:r>
            <a:rPr lang="it-IT" sz="600" cap="none" baseline="0">
              <a:latin typeface="Verdana" panose="020B0604030504040204" pitchFamily="34" charset="0"/>
              <a:ea typeface="Verdana" panose="020B0604030504040204" pitchFamily="34" charset="0"/>
            </a:rPr>
            <a:t>Per le caratteristiche dei connettori, si è fatto riferimento alle seguenti normative di prodotto:</a:t>
          </a:r>
        </a:p>
        <a:p>
          <a:r>
            <a:rPr lang="it-IT" sz="600" cap="none" baseline="0">
              <a:latin typeface="Verdana" panose="020B0604030504040204" pitchFamily="34" charset="0"/>
              <a:ea typeface="Verdana" panose="020B0604030504040204" pitchFamily="34" charset="0"/>
            </a:rPr>
            <a:t>European Technical Approval ETA-11/0030                      </a:t>
          </a:r>
        </a:p>
        <a:p>
          <a:r>
            <a:rPr lang="it-IT" sz="600" cap="none" baseline="0">
              <a:latin typeface="Verdana" panose="020B0604030504040204" pitchFamily="34" charset="0"/>
              <a:ea typeface="Verdana" panose="020B0604030504040204" pitchFamily="34" charset="0"/>
            </a:rPr>
            <a:t>                                                </a:t>
          </a:r>
        </a:p>
        <a:p>
          <a:r>
            <a:rPr lang="it-IT" sz="600" cap="none" baseline="0">
              <a:latin typeface="Verdana" panose="020B0604030504040204" pitchFamily="34" charset="0"/>
              <a:ea typeface="Verdana" panose="020B0604030504040204" pitchFamily="34" charset="0"/>
            </a:rPr>
            <a:t>E' compito del progettista verificare la correttezza dei risultati forniti dal presente foglio di calcolo. </a:t>
          </a:r>
        </a:p>
      </xdr:txBody>
    </xdr:sp>
    <xdr:clientData/>
  </xdr:twoCellAnchor>
  <xdr:twoCellAnchor>
    <xdr:from>
      <xdr:col>2</xdr:col>
      <xdr:colOff>0</xdr:colOff>
      <xdr:row>32</xdr:row>
      <xdr:rowOff>66261</xdr:rowOff>
    </xdr:from>
    <xdr:to>
      <xdr:col>12</xdr:col>
      <xdr:colOff>0</xdr:colOff>
      <xdr:row>32</xdr:row>
      <xdr:rowOff>563217</xdr:rowOff>
    </xdr:to>
    <xdr:sp macro="" textlink="">
      <xdr:nvSpPr>
        <xdr:cNvPr id="36" name="TextBox 35">
          <a:extLst>
            <a:ext uri="{FF2B5EF4-FFF2-40B4-BE49-F238E27FC236}">
              <a16:creationId xmlns:a16="http://schemas.microsoft.com/office/drawing/2014/main" id="{00000000-0008-0000-0500-000024000000}"/>
            </a:ext>
          </a:extLst>
        </xdr:cNvPr>
        <xdr:cNvSpPr txBox="1"/>
      </xdr:nvSpPr>
      <xdr:spPr>
        <a:xfrm>
          <a:off x="1267239" y="8978348"/>
          <a:ext cx="6062870"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it-IT" sz="800" b="0" i="0">
              <a:solidFill>
                <a:schemeClr val="dk1"/>
              </a:solidFill>
              <a:effectLst/>
              <a:latin typeface="+mn-lt"/>
              <a:ea typeface="+mn-ea"/>
              <a:cs typeface="+mn-cs"/>
            </a:rPr>
            <a:t>© ROTHO BLAAS SRL Via dell'Adige N. 2/1 | I-39040, Cortaccia (BZ) N. REA: BZ - 120599</a:t>
          </a:r>
        </a:p>
        <a:p>
          <a:r>
            <a:rPr lang="it-IT" sz="800" b="0" i="0">
              <a:solidFill>
                <a:schemeClr val="dk1"/>
              </a:solidFill>
              <a:effectLst/>
              <a:latin typeface="+mn-lt"/>
              <a:ea typeface="+mn-ea"/>
              <a:cs typeface="+mn-cs"/>
            </a:rPr>
            <a:t>Tel. +39 0471 81 84 00</a:t>
          </a:r>
        </a:p>
        <a:p>
          <a:r>
            <a:rPr lang="it-IT" sz="800" b="0" i="0">
              <a:solidFill>
                <a:schemeClr val="dk1"/>
              </a:solidFill>
              <a:effectLst/>
              <a:latin typeface="+mn-lt"/>
              <a:ea typeface="+mn-ea"/>
              <a:cs typeface="+mn-cs"/>
            </a:rPr>
            <a:t>E-mail </a:t>
          </a:r>
          <a:r>
            <a:rPr lang="it-IT" sz="800" b="0" i="0">
              <a:solidFill>
                <a:schemeClr val="dk1"/>
              </a:solidFill>
              <a:effectLst/>
              <a:latin typeface="+mn-lt"/>
              <a:ea typeface="+mn-ea"/>
              <a:cs typeface="+mn-cs"/>
              <a:hlinkClick xmlns:r="http://schemas.openxmlformats.org/officeDocument/2006/relationships" r:id=""/>
            </a:rPr>
            <a:t>info@rothoblaas.com</a:t>
          </a:r>
          <a:endParaRPr lang="it-IT" sz="800" cap="none" baseline="0">
            <a:latin typeface="Verdana" panose="020B0604030504040204" pitchFamily="34" charset="0"/>
            <a:ea typeface="Verdana" panose="020B0604030504040204" pitchFamily="34" charset="0"/>
          </a:endParaRPr>
        </a:p>
      </xdr:txBody>
    </xdr:sp>
    <xdr:clientData/>
  </xdr:twoCellAnchor>
  <xdr:twoCellAnchor editAs="absolute">
    <xdr:from>
      <xdr:col>3</xdr:col>
      <xdr:colOff>2930</xdr:colOff>
      <xdr:row>14</xdr:row>
      <xdr:rowOff>438150</xdr:rowOff>
    </xdr:from>
    <xdr:to>
      <xdr:col>9</xdr:col>
      <xdr:colOff>3489</xdr:colOff>
      <xdr:row>18</xdr:row>
      <xdr:rowOff>2495975</xdr:rowOff>
    </xdr:to>
    <xdr:pic>
      <xdr:nvPicPr>
        <xdr:cNvPr id="41" name="Picture 40" descr="The image depicts a simple wooden table with a visible rectangular frame.&#10;&#10;AI-generated content may be incorrect.">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4"/>
        <a:stretch>
          <a:fillRect/>
        </a:stretch>
      </xdr:blipFill>
      <xdr:spPr>
        <a:xfrm>
          <a:off x="1859017" y="4000500"/>
          <a:ext cx="3820058" cy="3048425"/>
        </a:xfrm>
        <a:prstGeom prst="rect">
          <a:avLst/>
        </a:prstGeom>
      </xdr:spPr>
    </xdr:pic>
    <xdr:clientData/>
  </xdr:twoCellAnchor>
  <xdr:twoCellAnchor>
    <xdr:from>
      <xdr:col>1</xdr:col>
      <xdr:colOff>326169</xdr:colOff>
      <xdr:row>36</xdr:row>
      <xdr:rowOff>0</xdr:rowOff>
    </xdr:from>
    <xdr:to>
      <xdr:col>11</xdr:col>
      <xdr:colOff>265044</xdr:colOff>
      <xdr:row>37</xdr:row>
      <xdr:rowOff>0</xdr:rowOff>
    </xdr:to>
    <xdr:grpSp>
      <xdr:nvGrpSpPr>
        <xdr:cNvPr id="52" name="Group 51">
          <a:extLst>
            <a:ext uri="{FF2B5EF4-FFF2-40B4-BE49-F238E27FC236}">
              <a16:creationId xmlns:a16="http://schemas.microsoft.com/office/drawing/2014/main" id="{00000000-0008-0000-0500-000034000000}"/>
            </a:ext>
          </a:extLst>
        </xdr:cNvPr>
        <xdr:cNvGrpSpPr/>
      </xdr:nvGrpSpPr>
      <xdr:grpSpPr>
        <a:xfrm>
          <a:off x="421419" y="12287250"/>
          <a:ext cx="6511125" cy="1704975"/>
          <a:chOff x="425560" y="12523304"/>
          <a:chExt cx="6680919" cy="1706218"/>
        </a:xfrm>
      </xdr:grpSpPr>
      <xdr:pic>
        <xdr:nvPicPr>
          <xdr:cNvPr id="44" name="Picture 43">
            <a:extLst>
              <a:ext uri="{FF2B5EF4-FFF2-40B4-BE49-F238E27FC236}">
                <a16:creationId xmlns:a16="http://schemas.microsoft.com/office/drawing/2014/main" id="{00000000-0008-0000-0500-00002C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712" t="29342" r="9802" b="34037"/>
          <a:stretch>
            <a:fillRect/>
          </a:stretch>
        </xdr:blipFill>
        <xdr:spPr bwMode="auto">
          <a:xfrm>
            <a:off x="1322323" y="12523304"/>
            <a:ext cx="4873068" cy="1706218"/>
          </a:xfrm>
          <a:prstGeom prst="rect">
            <a:avLst/>
          </a:prstGeom>
          <a:noFill/>
          <a:extLst>
            <a:ext uri="{909E8E84-426E-40DD-AFC4-6F175D3DCCD1}">
              <a14:hiddenFill xmlns:a14="http://schemas.microsoft.com/office/drawing/2010/main">
                <a:solidFill>
                  <a:srgbClr val="FFFFFF"/>
                </a:solidFill>
              </a14:hiddenFill>
            </a:ext>
          </a:extLst>
        </xdr:spPr>
      </xdr:pic>
      <xdr:sp macro="" textlink="H39">
        <xdr:nvSpPr>
          <xdr:cNvPr id="48" name="TextBox 47">
            <a:extLst>
              <a:ext uri="{FF2B5EF4-FFF2-40B4-BE49-F238E27FC236}">
                <a16:creationId xmlns:a16="http://schemas.microsoft.com/office/drawing/2014/main" id="{00000000-0008-0000-0500-000030000000}"/>
              </a:ext>
            </a:extLst>
          </xdr:cNvPr>
          <xdr:cNvSpPr txBox="1"/>
        </xdr:nvSpPr>
        <xdr:spPr>
          <a:xfrm>
            <a:off x="425560" y="13533121"/>
            <a:ext cx="1125193" cy="234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EED0D266-59EE-4EC5-80AC-93588840FD9F}" type="TxLink">
              <a:rPr lang="en-US" sz="1000" b="1" i="0" u="none" strike="noStrike">
                <a:solidFill>
                  <a:srgbClr val="000000"/>
                </a:solidFill>
                <a:latin typeface="Verdana"/>
                <a:ea typeface="Verdana"/>
              </a:rPr>
              <a:pPr algn="ctr"/>
              <a:t>At support</a:t>
            </a:fld>
            <a:endParaRPr lang="it-IT" sz="900">
              <a:solidFill>
                <a:srgbClr val="000000"/>
              </a:solidFill>
              <a:latin typeface="Verdana" panose="020B0604030504040204" pitchFamily="34" charset="0"/>
              <a:ea typeface="Verdana" panose="020B0604030504040204" pitchFamily="34" charset="0"/>
            </a:endParaRPr>
          </a:p>
        </xdr:txBody>
      </xdr:sp>
      <xdr:sp macro="" textlink="B39">
        <xdr:nvSpPr>
          <xdr:cNvPr id="49" name="TextBox 48">
            <a:extLst>
              <a:ext uri="{FF2B5EF4-FFF2-40B4-BE49-F238E27FC236}">
                <a16:creationId xmlns:a16="http://schemas.microsoft.com/office/drawing/2014/main" id="{00000000-0008-0000-0500-000031000000}"/>
              </a:ext>
            </a:extLst>
          </xdr:cNvPr>
          <xdr:cNvSpPr txBox="1"/>
        </xdr:nvSpPr>
        <xdr:spPr>
          <a:xfrm>
            <a:off x="3262685" y="12999886"/>
            <a:ext cx="1119478" cy="255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537C7AB8-B581-4553-8834-55755C44EBF0}" type="TxLink">
              <a:rPr lang="en-US" sz="1000" b="1" i="0" u="none" strike="noStrike">
                <a:solidFill>
                  <a:srgbClr val="000000"/>
                </a:solidFill>
                <a:latin typeface="Verdana"/>
                <a:ea typeface="Verdana"/>
              </a:rPr>
              <a:pPr algn="ctr"/>
              <a:t>At mid span</a:t>
            </a:fld>
            <a:endParaRPr lang="it-IT" sz="900">
              <a:solidFill>
                <a:srgbClr val="000000"/>
              </a:solidFill>
              <a:latin typeface="Verdana" panose="020B0604030504040204" pitchFamily="34" charset="0"/>
              <a:ea typeface="Verdana" panose="020B0604030504040204" pitchFamily="34" charset="0"/>
            </a:endParaRPr>
          </a:p>
        </xdr:txBody>
      </xdr:sp>
      <xdr:sp macro="" textlink="H39">
        <xdr:nvSpPr>
          <xdr:cNvPr id="51" name="TextBox 50">
            <a:extLst>
              <a:ext uri="{FF2B5EF4-FFF2-40B4-BE49-F238E27FC236}">
                <a16:creationId xmlns:a16="http://schemas.microsoft.com/office/drawing/2014/main" id="{00000000-0008-0000-0500-000033000000}"/>
              </a:ext>
            </a:extLst>
          </xdr:cNvPr>
          <xdr:cNvSpPr txBox="1"/>
        </xdr:nvSpPr>
        <xdr:spPr>
          <a:xfrm>
            <a:off x="5987001" y="13533121"/>
            <a:ext cx="1119478" cy="226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EBB4674-30BF-41AF-9063-5726AACF1A20}" type="TxLink">
              <a:rPr lang="en-US" sz="1000" b="1" i="0" u="none" strike="noStrike">
                <a:solidFill>
                  <a:srgbClr val="000000"/>
                </a:solidFill>
                <a:latin typeface="Verdana"/>
                <a:ea typeface="Verdana"/>
              </a:rPr>
              <a:pPr algn="ctr"/>
              <a:t>At support</a:t>
            </a:fld>
            <a:endParaRPr lang="it-IT" sz="900">
              <a:solidFill>
                <a:srgbClr val="000000"/>
              </a:solidFill>
              <a:latin typeface="Verdana" panose="020B0604030504040204" pitchFamily="34" charset="0"/>
              <a:ea typeface="Verdana" panose="020B0604030504040204" pitchFamily="34" charset="0"/>
            </a:endParaRPr>
          </a:p>
        </xdr:txBody>
      </xdr:sp>
      <xdr:sp macro="" textlink="$B$37">
        <xdr:nvSpPr>
          <xdr:cNvPr id="7279" name="TextBox 7278">
            <a:extLst>
              <a:ext uri="{FF2B5EF4-FFF2-40B4-BE49-F238E27FC236}">
                <a16:creationId xmlns:a16="http://schemas.microsoft.com/office/drawing/2014/main" id="{00000000-0008-0000-0500-00006F1C0000}"/>
              </a:ext>
            </a:extLst>
          </xdr:cNvPr>
          <xdr:cNvSpPr txBox="1"/>
        </xdr:nvSpPr>
        <xdr:spPr>
          <a:xfrm>
            <a:off x="1637460" y="12538318"/>
            <a:ext cx="965186" cy="18515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60BD1A58-1D8E-4E34-848E-B0B51B1D9A28}" type="TxLink">
              <a:rPr lang="en-US" sz="900" b="0" i="0" u="none" strike="noStrike">
                <a:solidFill>
                  <a:srgbClr val="000000"/>
                </a:solidFill>
                <a:latin typeface="Calibri"/>
                <a:ea typeface="Calibri"/>
                <a:cs typeface="Calibri"/>
              </a:rPr>
              <a:pPr algn="ctr"/>
              <a:t>ℓ/4 = 1500 mm</a:t>
            </a:fld>
            <a:endParaRPr lang="it-IT" sz="600" b="0">
              <a:solidFill>
                <a:srgbClr val="000000"/>
              </a:solidFill>
              <a:latin typeface="Verdana" panose="020B0604030504040204" pitchFamily="34" charset="0"/>
              <a:ea typeface="Verdana" panose="020B0604030504040204" pitchFamily="34" charset="0"/>
            </a:endParaRPr>
          </a:p>
        </xdr:txBody>
      </xdr:sp>
      <xdr:sp macro="" textlink="$K$37">
        <xdr:nvSpPr>
          <xdr:cNvPr id="7280" name="TextBox 7279">
            <a:extLst>
              <a:ext uri="{FF2B5EF4-FFF2-40B4-BE49-F238E27FC236}">
                <a16:creationId xmlns:a16="http://schemas.microsoft.com/office/drawing/2014/main" id="{00000000-0008-0000-0500-0000701C0000}"/>
              </a:ext>
            </a:extLst>
          </xdr:cNvPr>
          <xdr:cNvSpPr txBox="1"/>
        </xdr:nvSpPr>
        <xdr:spPr>
          <a:xfrm>
            <a:off x="2768794" y="12538315"/>
            <a:ext cx="2013318" cy="223288"/>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C17AE1A-22D5-41F7-8610-F02EEF819A0C}" type="TxLink">
              <a:rPr lang="en-US" sz="900" b="0" i="0" u="none" strike="noStrike">
                <a:solidFill>
                  <a:sysClr val="windowText" lastClr="000000"/>
                </a:solidFill>
                <a:latin typeface="Calibri"/>
                <a:ea typeface="Calibri"/>
                <a:cs typeface="Calibri"/>
              </a:rPr>
              <a:pPr algn="ctr"/>
              <a:t>ℓ/2 = 3000 mm</a:t>
            </a:fld>
            <a:endParaRPr lang="it-IT" sz="600" b="0">
              <a:solidFill>
                <a:sysClr val="windowText" lastClr="000000"/>
              </a:solidFill>
              <a:latin typeface="Verdana" panose="020B0604030504040204" pitchFamily="34" charset="0"/>
              <a:ea typeface="Verdana" panose="020B0604030504040204" pitchFamily="34" charset="0"/>
            </a:endParaRPr>
          </a:p>
        </xdr:txBody>
      </xdr:sp>
      <xdr:sp macro="" textlink="$B$37">
        <xdr:nvSpPr>
          <xdr:cNvPr id="7281" name="TextBox 7280">
            <a:extLst>
              <a:ext uri="{FF2B5EF4-FFF2-40B4-BE49-F238E27FC236}">
                <a16:creationId xmlns:a16="http://schemas.microsoft.com/office/drawing/2014/main" id="{00000000-0008-0000-0500-0000711C0000}"/>
              </a:ext>
            </a:extLst>
          </xdr:cNvPr>
          <xdr:cNvSpPr txBox="1"/>
        </xdr:nvSpPr>
        <xdr:spPr>
          <a:xfrm>
            <a:off x="4950639" y="12538318"/>
            <a:ext cx="965186" cy="18515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60BD1A58-1D8E-4E34-848E-B0B51B1D9A28}" type="TxLink">
              <a:rPr lang="en-US" sz="900" b="0" i="0" u="none" strike="noStrike">
                <a:solidFill>
                  <a:srgbClr val="000000"/>
                </a:solidFill>
                <a:latin typeface="Calibri"/>
                <a:ea typeface="Calibri"/>
                <a:cs typeface="Calibri"/>
              </a:rPr>
              <a:pPr algn="ctr"/>
              <a:t>ℓ/4 = 1500 mm</a:t>
            </a:fld>
            <a:endParaRPr lang="it-IT" sz="600" b="0">
              <a:solidFill>
                <a:srgbClr val="000000"/>
              </a:solidFill>
              <a:latin typeface="Verdana" panose="020B0604030504040204" pitchFamily="34" charset="0"/>
              <a:ea typeface="Verdana" panose="020B0604030504040204" pitchFamily="34" charset="0"/>
            </a:endParaRPr>
          </a:p>
        </xdr:txBody>
      </xdr:sp>
    </xdr:grpSp>
    <xdr:clientData/>
  </xdr:twoCellAnchor>
  <xdr:oneCellAnchor>
    <xdr:from>
      <xdr:col>2</xdr:col>
      <xdr:colOff>0</xdr:colOff>
      <xdr:row>159</xdr:row>
      <xdr:rowOff>0</xdr:rowOff>
    </xdr:from>
    <xdr:ext cx="2190750" cy="323849"/>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238250" y="43119675"/>
              <a:ext cx="2190750" cy="323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r>
                          <m:rPr>
                            <m:sty m:val="p"/>
                          </m:rPr>
                          <a:rPr lang="it-IT" sz="1100" b="0" i="1">
                            <a:solidFill>
                              <a:schemeClr val="tx1"/>
                            </a:solidFill>
                            <a:effectLst/>
                            <a:latin typeface="Cambria Math" panose="02040503050406030204" pitchFamily="18" charset="0"/>
                            <a:ea typeface="+mn-ea"/>
                            <a:cs typeface="+mn-cs"/>
                          </a:rPr>
                          <m:t>γ</m:t>
                        </m:r>
                      </m:e>
                      <m:sub>
                        <m:r>
                          <a:rPr lang="it-IT" sz="1100" b="0" i="1">
                            <a:solidFill>
                              <a:schemeClr val="tx1"/>
                            </a:solidFill>
                            <a:effectLst/>
                            <a:latin typeface="Cambria Math" panose="02040503050406030204" pitchFamily="18" charset="0"/>
                            <a:ea typeface="+mn-ea"/>
                            <a:cs typeface="+mn-cs"/>
                          </a:rPr>
                          <m:t>𝑔</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𝑔</m:t>
                        </m:r>
                      </m:e>
                      <m:sub>
                        <m:r>
                          <a:rPr lang="it-IT" sz="1100" b="0" i="1">
                            <a:latin typeface="Cambria Math" panose="02040503050406030204" pitchFamily="18" charset="0"/>
                          </a:rPr>
                          <m:t>𝑘</m:t>
                        </m:r>
                      </m:sub>
                    </m:sSub>
                    <m:r>
                      <a:rPr lang="it-IT" sz="1100" b="0" i="1">
                        <a:latin typeface="Cambria Math" panose="02040503050406030204" pitchFamily="18" charset="0"/>
                      </a:rPr>
                      <m:t>⋅</m:t>
                    </m:r>
                    <m:r>
                      <a:rPr lang="it-IT" sz="1100" b="0" i="1">
                        <a:latin typeface="Cambria Math" panose="02040503050406030204" pitchFamily="18" charset="0"/>
                      </a:rPr>
                      <m:t>𝑖</m:t>
                    </m:r>
                  </m:oMath>
                </m:oMathPara>
              </a14:m>
              <a:endParaRPr lang="it-IT" sz="1100"/>
            </a:p>
          </xdr:txBody>
        </xdr:sp>
      </mc:Choice>
      <mc:Fallback xmlns="">
        <xdr:sp macro="" textlink="">
          <xdr:nvSpPr>
            <xdr:cNvPr id="7" name="TextBox 6">
              <a:extLst>
                <a:ext uri="{FF2B5EF4-FFF2-40B4-BE49-F238E27FC236}">
                  <a16:creationId xmlns:a16="http://schemas.microsoft.com/office/drawing/2014/main" id="{59939E7B-355D-1C19-BA28-5E15A48F1AA2}"/>
                </a:ext>
              </a:extLst>
            </xdr:cNvPr>
            <xdr:cNvSpPr txBox="1"/>
          </xdr:nvSpPr>
          <xdr:spPr>
            <a:xfrm>
              <a:off x="1238250" y="43119675"/>
              <a:ext cx="2190750" cy="323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𝑞_(𝐼,𝑑)=</a:t>
              </a:r>
              <a:r>
                <a:rPr lang="it-IT" sz="1100" b="0" i="0">
                  <a:solidFill>
                    <a:schemeClr val="tx1"/>
                  </a:solidFill>
                  <a:effectLst/>
                  <a:latin typeface="+mn-lt"/>
                  <a:ea typeface="+mn-ea"/>
                  <a:cs typeface="+mn-cs"/>
                </a:rPr>
                <a:t>γ_𝑔</a:t>
              </a:r>
              <a:r>
                <a:rPr lang="it-IT" sz="1100" b="0" i="0">
                  <a:latin typeface="Cambria Math" panose="02040503050406030204" pitchFamily="18" charset="0"/>
                </a:rPr>
                <a:t>⋅𝑔_𝑘⋅𝑖</a:t>
              </a:r>
              <a:endParaRPr lang="it-IT" sz="1100"/>
            </a:p>
          </xdr:txBody>
        </xdr:sp>
      </mc:Fallback>
    </mc:AlternateContent>
    <xdr:clientData/>
  </xdr:oneCellAnchor>
  <xdr:oneCellAnchor>
    <xdr:from>
      <xdr:col>2</xdr:col>
      <xdr:colOff>0</xdr:colOff>
      <xdr:row>160</xdr:row>
      <xdr:rowOff>0</xdr:rowOff>
    </xdr:from>
    <xdr:ext cx="2190750" cy="180975"/>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1238250" y="43443525"/>
              <a:ext cx="21907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d>
                      <m:dPr>
                        <m:ctrlPr>
                          <a:rPr lang="el-GR" sz="1100" b="0" i="1">
                            <a:latin typeface="Cambria Math" panose="02040503050406030204" pitchFamily="18" charset="0"/>
                          </a:rPr>
                        </m:ctrlPr>
                      </m:dPr>
                      <m:e>
                        <m:sSub>
                          <m:sSubPr>
                            <m:ctrlPr>
                              <a:rPr lang="el-GR" sz="1100" b="0" i="1">
                                <a:latin typeface="Cambria Math" panose="02040503050406030204" pitchFamily="18" charset="0"/>
                              </a:rPr>
                            </m:ctrlPr>
                          </m:sSubPr>
                          <m:e>
                            <m:r>
                              <m:rPr>
                                <m:sty m:val="p"/>
                              </m:rPr>
                              <a:rPr lang="el-GR" sz="1100" b="0" i="1">
                                <a:latin typeface="Cambria Math" panose="02040503050406030204" pitchFamily="18" charset="0"/>
                              </a:rPr>
                              <m:t>γ</m:t>
                            </m:r>
                          </m:e>
                          <m:sub>
                            <m:r>
                              <a:rPr lang="it-IT" sz="1100" b="0" i="1">
                                <a:latin typeface="Cambria Math" panose="02040503050406030204" pitchFamily="18" charset="0"/>
                              </a:rPr>
                              <m:t>𝑔</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𝑔</m:t>
                            </m:r>
                          </m:e>
                          <m:sub>
                            <m:r>
                              <a:rPr lang="it-IT" sz="1100" b="0" i="1">
                                <a:latin typeface="Cambria Math" panose="02040503050406030204" pitchFamily="18" charset="0"/>
                              </a:rPr>
                              <m:t>𝑘</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r>
                              <m:rPr>
                                <m:sty m:val="p"/>
                              </m:rPr>
                              <a:rPr lang="it-IT" sz="1100" b="0" i="1">
                                <a:solidFill>
                                  <a:schemeClr val="tx1"/>
                                </a:solidFill>
                                <a:effectLst/>
                                <a:latin typeface="Cambria Math" panose="02040503050406030204" pitchFamily="18" charset="0"/>
                                <a:ea typeface="+mn-ea"/>
                                <a:cs typeface="+mn-cs"/>
                              </a:rPr>
                              <m:t>γ</m:t>
                            </m:r>
                          </m:e>
                          <m:sub>
                            <m:r>
                              <a:rPr lang="it-IT" sz="1100" b="0" i="1">
                                <a:solidFill>
                                  <a:schemeClr val="tx1"/>
                                </a:solidFill>
                                <a:effectLst/>
                                <a:latin typeface="Cambria Math" panose="02040503050406030204" pitchFamily="18" charset="0"/>
                                <a:ea typeface="+mn-ea"/>
                                <a:cs typeface="+mn-cs"/>
                              </a:rPr>
                              <m:t>𝑞</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𝑘</m:t>
                            </m:r>
                          </m:sub>
                        </m:sSub>
                      </m:e>
                    </m:d>
                    <m:r>
                      <a:rPr lang="it-IT" sz="1100" b="0" i="1">
                        <a:latin typeface="Cambria Math" panose="02040503050406030204" pitchFamily="18" charset="0"/>
                      </a:rPr>
                      <m:t>⋅</m:t>
                    </m:r>
                    <m:r>
                      <a:rPr lang="it-IT" sz="1100" b="0" i="1">
                        <a:latin typeface="Cambria Math" panose="02040503050406030204" pitchFamily="18" charset="0"/>
                      </a:rPr>
                      <m:t>𝑖</m:t>
                    </m:r>
                  </m:oMath>
                </m:oMathPara>
              </a14:m>
              <a:endParaRPr lang="it-IT" sz="1100"/>
            </a:p>
          </xdr:txBody>
        </xdr:sp>
      </mc:Choice>
      <mc:Fallback xmlns="">
        <xdr:sp macro="" textlink="">
          <xdr:nvSpPr>
            <xdr:cNvPr id="11" name="TextBox 10">
              <a:extLst>
                <a:ext uri="{FF2B5EF4-FFF2-40B4-BE49-F238E27FC236}">
                  <a16:creationId xmlns:a16="http://schemas.microsoft.com/office/drawing/2014/main" id="{9EDB9543-7209-C028-8B97-D615007AFB50}"/>
                </a:ext>
              </a:extLst>
            </xdr:cNvPr>
            <xdr:cNvSpPr txBox="1"/>
          </xdr:nvSpPr>
          <xdr:spPr>
            <a:xfrm>
              <a:off x="1238250" y="43443525"/>
              <a:ext cx="21907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𝑞_(𝐼𝐼,𝑑)=(</a:t>
              </a:r>
              <a:r>
                <a:rPr lang="el-GR" sz="1100" b="0" i="0">
                  <a:latin typeface="Cambria Math" panose="02040503050406030204" pitchFamily="18" charset="0"/>
                </a:rPr>
                <a:t>γ</a:t>
              </a:r>
              <a:r>
                <a:rPr lang="it-IT" sz="1100" b="0" i="0">
                  <a:latin typeface="Cambria Math" panose="02040503050406030204" pitchFamily="18" charset="0"/>
                </a:rPr>
                <a:t>_𝑔⋅𝑔_𝑘+</a:t>
              </a:r>
              <a:r>
                <a:rPr lang="it-IT" sz="1100" b="0" i="0">
                  <a:solidFill>
                    <a:schemeClr val="tx1"/>
                  </a:solidFill>
                  <a:effectLst/>
                  <a:latin typeface="+mn-lt"/>
                  <a:ea typeface="+mn-ea"/>
                  <a:cs typeface="+mn-cs"/>
                </a:rPr>
                <a:t>γ_</a:t>
              </a:r>
              <a:r>
                <a:rPr lang="it-IT" sz="1100" b="0" i="0">
                  <a:solidFill>
                    <a:schemeClr val="tx1"/>
                  </a:solidFill>
                  <a:effectLst/>
                  <a:latin typeface="Cambria Math" panose="02040503050406030204" pitchFamily="18" charset="0"/>
                  <a:ea typeface="+mn-ea"/>
                  <a:cs typeface="+mn-cs"/>
                </a:rPr>
                <a:t>𝑞</a:t>
              </a:r>
              <a:r>
                <a:rPr lang="it-IT" sz="1100" b="0" i="0">
                  <a:latin typeface="Cambria Math" panose="02040503050406030204" pitchFamily="18" charset="0"/>
                </a:rPr>
                <a:t>⋅𝑞_𝑘 )⋅𝑖</a:t>
              </a:r>
              <a:endParaRPr lang="it-IT" sz="1100"/>
            </a:p>
          </xdr:txBody>
        </xdr:sp>
      </mc:Fallback>
    </mc:AlternateContent>
    <xdr:clientData/>
  </xdr:oneCellAnchor>
  <xdr:oneCellAnchor>
    <xdr:from>
      <xdr:col>8</xdr:col>
      <xdr:colOff>0</xdr:colOff>
      <xdr:row>166</xdr:row>
      <xdr:rowOff>0</xdr:rowOff>
    </xdr:from>
    <xdr:ext cx="1143000" cy="342900"/>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495300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sub>
                        </m:sSub>
                      </m:num>
                      <m:den>
                        <m:r>
                          <a:rPr lang="it-IT" sz="1100" b="0" i="1">
                            <a:latin typeface="Cambria Math" panose="02040503050406030204" pitchFamily="18" charset="0"/>
                          </a:rPr>
                          <m:t>8</m:t>
                        </m:r>
                      </m:den>
                    </m:f>
                  </m:oMath>
                </m:oMathPara>
              </a14:m>
              <a:endParaRPr lang="it-IT" sz="1100"/>
            </a:p>
          </xdr:txBody>
        </xdr:sp>
      </mc:Choice>
      <mc:Fallback xmlns="">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495300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𝑀_(𝐼𝐼,𝑑)=𝑞_(𝐼𝐼,𝑑⋅ℓ^2 )/8</a:t>
              </a:r>
              <a:endParaRPr lang="it-IT" sz="1100"/>
            </a:p>
          </xdr:txBody>
        </xdr:sp>
      </mc:Fallback>
    </mc:AlternateContent>
    <xdr:clientData/>
  </xdr:oneCellAnchor>
  <xdr:oneCellAnchor>
    <xdr:from>
      <xdr:col>8</xdr:col>
      <xdr:colOff>0</xdr:colOff>
      <xdr:row>167</xdr:row>
      <xdr:rowOff>1</xdr:rowOff>
    </xdr:from>
    <xdr:ext cx="1143000" cy="342900"/>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4953000" y="46510576"/>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𝑉</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⋅ℓ</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4953000" y="46510576"/>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𝑉_(𝐼𝐼,𝑑)=𝑞_(𝐼𝐼,𝑑⋅ℓ)/2</a:t>
              </a:r>
              <a:endParaRPr lang="it-IT" sz="1100"/>
            </a:p>
          </xdr:txBody>
        </xdr:sp>
      </mc:Fallback>
    </mc:AlternateContent>
    <xdr:clientData/>
  </xdr:oneCellAnchor>
  <xdr:oneCellAnchor>
    <xdr:from>
      <xdr:col>2</xdr:col>
      <xdr:colOff>0</xdr:colOff>
      <xdr:row>166</xdr:row>
      <xdr:rowOff>0</xdr:rowOff>
    </xdr:from>
    <xdr:ext cx="1143000" cy="342900"/>
    <mc:AlternateContent xmlns:mc="http://schemas.openxmlformats.org/markup-compatibility/2006" xmlns:a14="http://schemas.microsoft.com/office/drawing/2010/main">
      <mc:Choice Requires="a14">
        <xdr:sp macro="" textlink="">
          <xdr:nvSpPr>
            <xdr:cNvPr id="4964" name="TextBox 4963">
              <a:extLst>
                <a:ext uri="{FF2B5EF4-FFF2-40B4-BE49-F238E27FC236}">
                  <a16:creationId xmlns:a16="http://schemas.microsoft.com/office/drawing/2014/main" id="{00000000-0008-0000-0500-000064130000}"/>
                </a:ext>
              </a:extLst>
            </xdr:cNvPr>
            <xdr:cNvSpPr txBox="1"/>
          </xdr:nvSpPr>
          <xdr:spPr>
            <a:xfrm>
              <a:off x="123825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sub>
                        </m:sSub>
                      </m:num>
                      <m:den>
                        <m:r>
                          <a:rPr lang="it-IT" sz="1100" b="0" i="1">
                            <a:latin typeface="Cambria Math" panose="02040503050406030204" pitchFamily="18" charset="0"/>
                          </a:rPr>
                          <m:t>8</m:t>
                        </m:r>
                      </m:den>
                    </m:f>
                  </m:oMath>
                </m:oMathPara>
              </a14:m>
              <a:endParaRPr lang="it-IT" sz="1100"/>
            </a:p>
          </xdr:txBody>
        </xdr:sp>
      </mc:Choice>
      <mc:Fallback xmlns="">
        <xdr:sp macro="" textlink="">
          <xdr:nvSpPr>
            <xdr:cNvPr id="4964" name="TextBox 4963">
              <a:extLst>
                <a:ext uri="{FF2B5EF4-FFF2-40B4-BE49-F238E27FC236}">
                  <a16:creationId xmlns:a16="http://schemas.microsoft.com/office/drawing/2014/main" id="{00000000-0008-0000-0500-000064130000}"/>
                </a:ext>
              </a:extLst>
            </xdr:cNvPr>
            <xdr:cNvSpPr txBox="1"/>
          </xdr:nvSpPr>
          <xdr:spPr>
            <a:xfrm>
              <a:off x="123825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𝑀_(𝐼,𝑑)=𝑞_(𝐼,𝑑⋅ℓ^2 )/8</a:t>
              </a:r>
              <a:endParaRPr lang="it-IT" sz="1100"/>
            </a:p>
          </xdr:txBody>
        </xdr:sp>
      </mc:Fallback>
    </mc:AlternateContent>
    <xdr:clientData/>
  </xdr:oneCellAnchor>
  <xdr:oneCellAnchor>
    <xdr:from>
      <xdr:col>2</xdr:col>
      <xdr:colOff>0</xdr:colOff>
      <xdr:row>167</xdr:row>
      <xdr:rowOff>0</xdr:rowOff>
    </xdr:from>
    <xdr:ext cx="1143000" cy="342900"/>
    <mc:AlternateContent xmlns:mc="http://schemas.openxmlformats.org/markup-compatibility/2006" xmlns:a14="http://schemas.microsoft.com/office/drawing/2010/main">
      <mc:Choice Requires="a14">
        <xdr:sp macro="" textlink="">
          <xdr:nvSpPr>
            <xdr:cNvPr id="4965" name="TextBox 4964">
              <a:extLst>
                <a:ext uri="{FF2B5EF4-FFF2-40B4-BE49-F238E27FC236}">
                  <a16:creationId xmlns:a16="http://schemas.microsoft.com/office/drawing/2014/main" id="{00000000-0008-0000-0500-000065130000}"/>
                </a:ext>
              </a:extLst>
            </xdr:cNvPr>
            <xdr:cNvSpPr txBox="1"/>
          </xdr:nvSpPr>
          <xdr:spPr>
            <a:xfrm>
              <a:off x="1238250" y="46510575"/>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𝑉</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⋅ℓ</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4965" name="TextBox 4964">
              <a:extLst>
                <a:ext uri="{FF2B5EF4-FFF2-40B4-BE49-F238E27FC236}">
                  <a16:creationId xmlns:a16="http://schemas.microsoft.com/office/drawing/2014/main" id="{00000000-0008-0000-0500-000065130000}"/>
                </a:ext>
              </a:extLst>
            </xdr:cNvPr>
            <xdr:cNvSpPr txBox="1"/>
          </xdr:nvSpPr>
          <xdr:spPr>
            <a:xfrm>
              <a:off x="1238250" y="46510575"/>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𝑉_(𝐼,𝑑)=𝑞_(𝐼,𝑑⋅ℓ)/2</a:t>
              </a:r>
              <a:endParaRPr lang="it-IT" sz="1100"/>
            </a:p>
          </xdr:txBody>
        </xdr:sp>
      </mc:Fallback>
    </mc:AlternateContent>
    <xdr:clientData/>
  </xdr:oneCellAnchor>
  <xdr:oneCellAnchor>
    <xdr:from>
      <xdr:col>1</xdr:col>
      <xdr:colOff>1138858</xdr:colOff>
      <xdr:row>186</xdr:row>
      <xdr:rowOff>0</xdr:rowOff>
    </xdr:from>
    <xdr:ext cx="1147142" cy="647700"/>
    <mc:AlternateContent xmlns:mc="http://schemas.openxmlformats.org/markup-compatibility/2006" xmlns:a14="http://schemas.microsoft.com/office/drawing/2010/main">
      <mc:Choice Requires="a14">
        <xdr:sp macro="" textlink="">
          <xdr:nvSpPr>
            <xdr:cNvPr id="4966" name="TextBox 4965">
              <a:extLst>
                <a:ext uri="{FF2B5EF4-FFF2-40B4-BE49-F238E27FC236}">
                  <a16:creationId xmlns:a16="http://schemas.microsoft.com/office/drawing/2014/main" id="{00000000-0008-0000-0500-000066130000}"/>
                </a:ext>
              </a:extLst>
            </xdr:cNvPr>
            <xdr:cNvSpPr txBox="1"/>
          </xdr:nvSpPr>
          <xdr:spPr>
            <a:xfrm>
              <a:off x="1234108" y="487299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4966" name="TextBox 4965">
              <a:extLst>
                <a:ext uri="{FF2B5EF4-FFF2-40B4-BE49-F238E27FC236}">
                  <a16:creationId xmlns:a16="http://schemas.microsoft.com/office/drawing/2014/main" id="{00000000-0008-0000-0500-000066130000}"/>
                </a:ext>
              </a:extLst>
            </xdr:cNvPr>
            <xdr:cNvSpPr txBox="1"/>
          </xdr:nvSpPr>
          <xdr:spPr>
            <a:xfrm>
              <a:off x="1234108" y="487299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189</xdr:row>
      <xdr:rowOff>0</xdr:rowOff>
    </xdr:from>
    <xdr:ext cx="2286000" cy="361950"/>
    <mc:AlternateContent xmlns:mc="http://schemas.openxmlformats.org/markup-compatibility/2006" xmlns:a14="http://schemas.microsoft.com/office/drawing/2010/main">
      <mc:Choice Requires="a14">
        <xdr:sp macro="" textlink="">
          <xdr:nvSpPr>
            <xdr:cNvPr id="4967" name="TextBox 4966">
              <a:extLst>
                <a:ext uri="{FF2B5EF4-FFF2-40B4-BE49-F238E27FC236}">
                  <a16:creationId xmlns:a16="http://schemas.microsoft.com/office/drawing/2014/main" id="{00000000-0008-0000-0500-000067130000}"/>
                </a:ext>
              </a:extLst>
            </xdr:cNvPr>
            <xdr:cNvSpPr txBox="1"/>
          </xdr:nvSpPr>
          <xdr:spPr>
            <a:xfrm>
              <a:off x="95250" y="501681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=0</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4967" name="TextBox 4966">
              <a:extLst>
                <a:ext uri="{FF2B5EF4-FFF2-40B4-BE49-F238E27FC236}">
                  <a16:creationId xmlns:a16="http://schemas.microsoft.com/office/drawing/2014/main" id="{00000000-0008-0000-0500-000067130000}"/>
                </a:ext>
              </a:extLst>
            </xdr:cNvPr>
            <xdr:cNvSpPr txBox="1"/>
          </xdr:nvSpPr>
          <xdr:spPr>
            <a:xfrm>
              <a:off x="95250" y="501681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)_(𝑡=0)=(𝐸𝐽)_(𝑡=0)+</a:t>
              </a:r>
              <a:r>
                <a:rPr lang="it-IT" sz="1100" b="0" i="0">
                  <a:solidFill>
                    <a:schemeClr val="tx1"/>
                  </a:solidFill>
                  <a:effectLst/>
                  <a:latin typeface="Cambria Math" panose="02040503050406030204" pitchFamily="18" charset="0"/>
                  <a:ea typeface="+mn-ea"/>
                  <a:cs typeface="+mn-cs"/>
                </a:rPr>
                <a:t>(𝐸𝐴)_(𝑡=0)⋅𝑎^2</a:t>
              </a:r>
              <a:endParaRPr lang="it-IT" sz="1100"/>
            </a:p>
          </xdr:txBody>
        </xdr:sp>
      </mc:Fallback>
    </mc:AlternateContent>
    <xdr:clientData/>
  </xdr:oneCellAnchor>
  <xdr:oneCellAnchor>
    <xdr:from>
      <xdr:col>1</xdr:col>
      <xdr:colOff>0</xdr:colOff>
      <xdr:row>193</xdr:row>
      <xdr:rowOff>0</xdr:rowOff>
    </xdr:from>
    <xdr:ext cx="2286000" cy="476250"/>
    <mc:AlternateContent xmlns:mc="http://schemas.openxmlformats.org/markup-compatibility/2006" xmlns:a14="http://schemas.microsoft.com/office/drawing/2010/main">
      <mc:Choice Requires="a14">
        <xdr:sp macro="" textlink="">
          <xdr:nvSpPr>
            <xdr:cNvPr id="5347" name="TextBox 5346">
              <a:extLst>
                <a:ext uri="{FF2B5EF4-FFF2-40B4-BE49-F238E27FC236}">
                  <a16:creationId xmlns:a16="http://schemas.microsoft.com/office/drawing/2014/main" id="{00000000-0008-0000-0500-0000E3140000}"/>
                </a:ext>
              </a:extLst>
            </xdr:cNvPr>
            <xdr:cNvSpPr txBox="1"/>
          </xdr:nvSpPr>
          <xdr:spPr>
            <a:xfrm>
              <a:off x="95250" y="505015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5347" name="TextBox 5346">
              <a:extLst>
                <a:ext uri="{FF2B5EF4-FFF2-40B4-BE49-F238E27FC236}">
                  <a16:creationId xmlns:a16="http://schemas.microsoft.com/office/drawing/2014/main" id="{00000000-0008-0000-0500-0000E3140000}"/>
                </a:ext>
              </a:extLst>
            </xdr:cNvPr>
            <xdr:cNvSpPr txBox="1"/>
          </xdr:nvSpPr>
          <xdr:spPr>
            <a:xfrm>
              <a:off x="95250" y="505015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1</xdr:col>
      <xdr:colOff>0</xdr:colOff>
      <xdr:row>194</xdr:row>
      <xdr:rowOff>0</xdr:rowOff>
    </xdr:from>
    <xdr:ext cx="2286000" cy="476250"/>
    <mc:AlternateContent xmlns:mc="http://schemas.openxmlformats.org/markup-compatibility/2006" xmlns:a14="http://schemas.microsoft.com/office/drawing/2010/main">
      <mc:Choice Requires="a14">
        <xdr:sp macro="" textlink="">
          <xdr:nvSpPr>
            <xdr:cNvPr id="5348" name="TextBox 5347">
              <a:extLst>
                <a:ext uri="{FF2B5EF4-FFF2-40B4-BE49-F238E27FC236}">
                  <a16:creationId xmlns:a16="http://schemas.microsoft.com/office/drawing/2014/main" id="{00000000-0008-0000-0500-0000E4140000}"/>
                </a:ext>
              </a:extLst>
            </xdr:cNvPr>
            <xdr:cNvSpPr txBox="1"/>
          </xdr:nvSpPr>
          <xdr:spPr>
            <a:xfrm>
              <a:off x="95250" y="510730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5348" name="TextBox 5347">
              <a:extLst>
                <a:ext uri="{FF2B5EF4-FFF2-40B4-BE49-F238E27FC236}">
                  <a16:creationId xmlns:a16="http://schemas.microsoft.com/office/drawing/2014/main" id="{00000000-0008-0000-0500-0000E4140000}"/>
                </a:ext>
              </a:extLst>
            </xdr:cNvPr>
            <xdr:cNvSpPr txBox="1"/>
          </xdr:nvSpPr>
          <xdr:spPr>
            <a:xfrm>
              <a:off x="95250" y="510730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1</xdr:col>
      <xdr:colOff>0</xdr:colOff>
      <xdr:row>201</xdr:row>
      <xdr:rowOff>0</xdr:rowOff>
    </xdr:from>
    <xdr:ext cx="2286000" cy="381000"/>
    <mc:AlternateContent xmlns:mc="http://schemas.openxmlformats.org/markup-compatibility/2006" xmlns:a14="http://schemas.microsoft.com/office/drawing/2010/main">
      <mc:Choice Requires="a14">
        <xdr:sp macro="" textlink="">
          <xdr:nvSpPr>
            <xdr:cNvPr id="5725" name="TextBox 5724">
              <a:extLst>
                <a:ext uri="{FF2B5EF4-FFF2-40B4-BE49-F238E27FC236}">
                  <a16:creationId xmlns:a16="http://schemas.microsoft.com/office/drawing/2014/main" id="{00000000-0008-0000-0500-00005D160000}"/>
                </a:ext>
              </a:extLst>
            </xdr:cNvPr>
            <xdr:cNvSpPr txBox="1"/>
          </xdr:nvSpPr>
          <xdr:spPr>
            <a:xfrm>
              <a:off x="95250" y="527589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5725" name="TextBox 5724">
              <a:extLst>
                <a:ext uri="{FF2B5EF4-FFF2-40B4-BE49-F238E27FC236}">
                  <a16:creationId xmlns:a16="http://schemas.microsoft.com/office/drawing/2014/main" id="{00000000-0008-0000-0500-00005D160000}"/>
                </a:ext>
              </a:extLst>
            </xdr:cNvPr>
            <xdr:cNvSpPr txBox="1"/>
          </xdr:nvSpPr>
          <xdr:spPr>
            <a:xfrm>
              <a:off x="95250" y="527589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0</xdr:colOff>
      <xdr:row>209</xdr:row>
      <xdr:rowOff>0</xdr:rowOff>
    </xdr:from>
    <xdr:ext cx="2286000" cy="361950"/>
    <mc:AlternateContent xmlns:mc="http://schemas.openxmlformats.org/markup-compatibility/2006" xmlns:a14="http://schemas.microsoft.com/office/drawing/2010/main">
      <mc:Choice Requires="a14">
        <xdr:sp macro="" textlink="">
          <xdr:nvSpPr>
            <xdr:cNvPr id="6798" name="TextBox 6797">
              <a:extLst>
                <a:ext uri="{FF2B5EF4-FFF2-40B4-BE49-F238E27FC236}">
                  <a16:creationId xmlns:a16="http://schemas.microsoft.com/office/drawing/2014/main" id="{00000000-0008-0000-0500-00008E1A0000}"/>
                </a:ext>
              </a:extLst>
            </xdr:cNvPr>
            <xdr:cNvSpPr txBox="1"/>
          </xdr:nvSpPr>
          <xdr:spPr>
            <a:xfrm>
              <a:off x="95250" y="543496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r>
                              <a:rPr lang="it-IT" sz="1100" b="0" i="1">
                                <a:latin typeface="Cambria Math" panose="02040503050406030204" pitchFamily="18" charset="0"/>
                              </a:rPr>
                              <m:t>𝑖</m:t>
                            </m:r>
                            <m:r>
                              <a:rPr lang="it-IT" sz="1100" b="0" i="1">
                                <a:latin typeface="Cambria Math" panose="02040503050406030204" pitchFamily="18" charset="0"/>
                              </a:rPr>
                              <m:t>,</m:t>
                            </m:r>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6798" name="TextBox 6797">
              <a:extLst>
                <a:ext uri="{FF2B5EF4-FFF2-40B4-BE49-F238E27FC236}">
                  <a16:creationId xmlns:a16="http://schemas.microsoft.com/office/drawing/2014/main" id="{00000000-0008-0000-0500-00008E1A0000}"/>
                </a:ext>
              </a:extLst>
            </xdr:cNvPr>
            <xdr:cNvSpPr txBox="1"/>
          </xdr:nvSpPr>
          <xdr:spPr>
            <a:xfrm>
              <a:off x="95250" y="543496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1+𝜓_(2,𝑖,𝑡=∞)⋅𝑘_𝑑𝑒𝑓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1</xdr:col>
      <xdr:colOff>0</xdr:colOff>
      <xdr:row>216</xdr:row>
      <xdr:rowOff>0</xdr:rowOff>
    </xdr:from>
    <xdr:ext cx="2286000" cy="361950"/>
    <mc:AlternateContent xmlns:mc="http://schemas.openxmlformats.org/markup-compatibility/2006" xmlns:a14="http://schemas.microsoft.com/office/drawing/2010/main">
      <mc:Choice Requires="a14">
        <xdr:sp macro="" textlink="">
          <xdr:nvSpPr>
            <xdr:cNvPr id="6799" name="TextBox 6798">
              <a:extLst>
                <a:ext uri="{FF2B5EF4-FFF2-40B4-BE49-F238E27FC236}">
                  <a16:creationId xmlns:a16="http://schemas.microsoft.com/office/drawing/2014/main" id="{00000000-0008-0000-0500-00008F1A0000}"/>
                </a:ext>
              </a:extLst>
            </xdr:cNvPr>
            <xdr:cNvSpPr txBox="1"/>
          </xdr:nvSpPr>
          <xdr:spPr>
            <a:xfrm>
              <a:off x="95250" y="545306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𝜓</m:t>
                            </m:r>
                          </m:e>
                          <m:sub>
                            <m:r>
                              <a:rPr lang="it-IT" sz="1100" b="0" i="1">
                                <a:solidFill>
                                  <a:schemeClr val="tx1"/>
                                </a:solidFill>
                                <a:effectLst/>
                                <a:latin typeface="Cambria Math" panose="02040503050406030204" pitchFamily="18" charset="0"/>
                                <a:ea typeface="+mn-ea"/>
                                <a:cs typeface="+mn-cs"/>
                              </a:rPr>
                              <m:t>2,</m:t>
                            </m:r>
                            <m:r>
                              <a:rPr lang="it-IT" sz="1100" b="0" i="1">
                                <a:solidFill>
                                  <a:schemeClr val="tx1"/>
                                </a:solidFill>
                                <a:effectLst/>
                                <a:latin typeface="Cambria Math" panose="02040503050406030204" pitchFamily="18" charset="0"/>
                                <a:ea typeface="+mn-ea"/>
                                <a:cs typeface="+mn-cs"/>
                              </a:rPr>
                              <m:t>𝑖</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6799" name="TextBox 6798">
              <a:extLst>
                <a:ext uri="{FF2B5EF4-FFF2-40B4-BE49-F238E27FC236}">
                  <a16:creationId xmlns:a16="http://schemas.microsoft.com/office/drawing/2014/main" id="{00000000-0008-0000-0500-00008F1A0000}"/>
                </a:ext>
              </a:extLst>
            </xdr:cNvPr>
            <xdr:cNvSpPr txBox="1"/>
          </xdr:nvSpPr>
          <xdr:spPr>
            <a:xfrm>
              <a:off x="95250" y="545306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a:t>
              </a:r>
              <a:r>
                <a:rPr lang="it-IT" sz="1100" b="0" i="0">
                  <a:solidFill>
                    <a:schemeClr val="tx1"/>
                  </a:solidFill>
                  <a:effectLst/>
                  <a:latin typeface="+mn-lt"/>
                  <a:ea typeface="+mn-ea"/>
                  <a:cs typeface="+mn-cs"/>
                </a:rPr>
                <a:t>𝜓_(2,𝑖,𝑡=∞)</a:t>
              </a:r>
              <a:r>
                <a:rPr lang="it-IT" sz="1100" b="0" i="0">
                  <a:latin typeface="Cambria Math" panose="02040503050406030204" pitchFamily="18" charset="0"/>
                </a:rPr>
                <a:t>⋅𝑘_𝑑𝑒𝑓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1</xdr:col>
      <xdr:colOff>0</xdr:colOff>
      <xdr:row>244</xdr:row>
      <xdr:rowOff>0</xdr:rowOff>
    </xdr:from>
    <xdr:ext cx="2286000" cy="361950"/>
    <mc:AlternateContent xmlns:mc="http://schemas.openxmlformats.org/markup-compatibility/2006" xmlns:a14="http://schemas.microsoft.com/office/drawing/2010/main">
      <mc:Choice Requires="a14">
        <xdr:sp macro="" textlink="">
          <xdr:nvSpPr>
            <xdr:cNvPr id="6800" name="TextBox 6799">
              <a:extLst>
                <a:ext uri="{FF2B5EF4-FFF2-40B4-BE49-F238E27FC236}">
                  <a16:creationId xmlns:a16="http://schemas.microsoft.com/office/drawing/2014/main" id="{00000000-0008-0000-0500-0000901A0000}"/>
                </a:ext>
              </a:extLst>
            </xdr:cNvPr>
            <xdr:cNvSpPr txBox="1"/>
          </xdr:nvSpPr>
          <xdr:spPr>
            <a:xfrm>
              <a:off x="95250" y="552259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𝐾</m:t>
                            </m:r>
                          </m:e>
                          <m:sub>
                            <m:r>
                              <a:rPr lang="it-IT" sz="1100" b="0" i="1">
                                <a:solidFill>
                                  <a:schemeClr val="tx1"/>
                                </a:solidFill>
                                <a:effectLst/>
                                <a:latin typeface="Cambria Math" panose="02040503050406030204" pitchFamily="18" charset="0"/>
                                <a:ea typeface="+mn-ea"/>
                                <a:cs typeface="+mn-cs"/>
                              </a:rPr>
                              <m:t>𝑢</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6800" name="TextBox 6799">
              <a:extLst>
                <a:ext uri="{FF2B5EF4-FFF2-40B4-BE49-F238E27FC236}">
                  <a16:creationId xmlns:a16="http://schemas.microsoft.com/office/drawing/2014/main" id="{00000000-0008-0000-0500-0000901A0000}"/>
                </a:ext>
              </a:extLst>
            </xdr:cNvPr>
            <xdr:cNvSpPr txBox="1"/>
          </xdr:nvSpPr>
          <xdr:spPr>
            <a:xfrm>
              <a:off x="95250" y="552259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𝐾_(𝑢</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𝐾_𝑢/(</a:t>
              </a:r>
              <a:r>
                <a:rPr lang="it-IT" sz="1100" b="0" i="0">
                  <a:latin typeface="Cambria Math" panose="02040503050406030204" pitchFamily="18" charset="0"/>
                </a:rPr>
                <a:t>1+𝜓_2⋅𝑘_𝑑𝑒𝑓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2</xdr:col>
      <xdr:colOff>0</xdr:colOff>
      <xdr:row>183</xdr:row>
      <xdr:rowOff>0</xdr:rowOff>
    </xdr:from>
    <xdr:ext cx="1147142" cy="323850"/>
    <mc:AlternateContent xmlns:mc="http://schemas.openxmlformats.org/markup-compatibility/2006" xmlns:a14="http://schemas.microsoft.com/office/drawing/2010/main">
      <mc:Choice Requires="a14">
        <xdr:sp macro="" textlink="">
          <xdr:nvSpPr>
            <xdr:cNvPr id="6801" name="TextBox 6800">
              <a:extLst>
                <a:ext uri="{FF2B5EF4-FFF2-40B4-BE49-F238E27FC236}">
                  <a16:creationId xmlns:a16="http://schemas.microsoft.com/office/drawing/2014/main" id="{00000000-0008-0000-0500-0000911A0000}"/>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1" name="TextBox 6800">
              <a:extLst>
                <a:ext uri="{FF2B5EF4-FFF2-40B4-BE49-F238E27FC236}">
                  <a16:creationId xmlns:a16="http://schemas.microsoft.com/office/drawing/2014/main" id="{00000000-0008-0000-0500-0000911A0000}"/>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(𝐸𝐽_0 )_(𝑡=0)=∑𝐸_𝑖 𝐽_𝑖</a:t>
              </a:r>
              <a:endParaRPr lang="it-IT" sz="1100"/>
            </a:p>
          </xdr:txBody>
        </xdr:sp>
      </mc:Fallback>
    </mc:AlternateContent>
    <xdr:clientData/>
  </xdr:oneCellAnchor>
  <xdr:oneCellAnchor>
    <xdr:from>
      <xdr:col>1</xdr:col>
      <xdr:colOff>1138858</xdr:colOff>
      <xdr:row>184</xdr:row>
      <xdr:rowOff>0</xdr:rowOff>
    </xdr:from>
    <xdr:ext cx="1147142" cy="323850"/>
    <mc:AlternateContent xmlns:mc="http://schemas.openxmlformats.org/markup-compatibility/2006" xmlns:a14="http://schemas.microsoft.com/office/drawing/2010/main">
      <mc:Choice Requires="a14">
        <xdr:sp macro="" textlink="">
          <xdr:nvSpPr>
            <xdr:cNvPr id="6802" name="TextBox 6801">
              <a:extLst>
                <a:ext uri="{FF2B5EF4-FFF2-40B4-BE49-F238E27FC236}">
                  <a16:creationId xmlns:a16="http://schemas.microsoft.com/office/drawing/2014/main" id="{00000000-0008-0000-0500-0000921A0000}"/>
                </a:ext>
              </a:extLst>
            </xdr:cNvPr>
            <xdr:cNvSpPr txBox="1"/>
          </xdr:nvSpPr>
          <xdr:spPr>
            <a:xfrm>
              <a:off x="1234108" y="485394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2" name="TextBox 6801">
              <a:extLst>
                <a:ext uri="{FF2B5EF4-FFF2-40B4-BE49-F238E27FC236}">
                  <a16:creationId xmlns:a16="http://schemas.microsoft.com/office/drawing/2014/main" id="{00000000-0008-0000-0500-0000921A0000}"/>
                </a:ext>
              </a:extLst>
            </xdr:cNvPr>
            <xdr:cNvSpPr txBox="1"/>
          </xdr:nvSpPr>
          <xdr:spPr>
            <a:xfrm>
              <a:off x="1234108" y="485394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(𝐸𝐴_0 )_(𝑡=0)=∑𝐸_𝑖 𝐴_𝑖</a:t>
              </a:r>
              <a:endParaRPr lang="it-IT" sz="1100"/>
            </a:p>
          </xdr:txBody>
        </xdr:sp>
      </mc:Fallback>
    </mc:AlternateContent>
    <xdr:clientData/>
  </xdr:oneCellAnchor>
  <xdr:oneCellAnchor>
    <xdr:from>
      <xdr:col>2</xdr:col>
      <xdr:colOff>0</xdr:colOff>
      <xdr:row>223</xdr:row>
      <xdr:rowOff>0</xdr:rowOff>
    </xdr:from>
    <xdr:ext cx="1147142" cy="323850"/>
    <mc:AlternateContent xmlns:mc="http://schemas.openxmlformats.org/markup-compatibility/2006" xmlns:a14="http://schemas.microsoft.com/office/drawing/2010/main">
      <mc:Choice Requires="a14">
        <xdr:sp macro="" textlink="">
          <xdr:nvSpPr>
            <xdr:cNvPr id="6803" name="TextBox 6802">
              <a:extLst>
                <a:ext uri="{FF2B5EF4-FFF2-40B4-BE49-F238E27FC236}">
                  <a16:creationId xmlns:a16="http://schemas.microsoft.com/office/drawing/2014/main" id="{00000000-0008-0000-0500-0000931A0000}"/>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3" name="TextBox 6802">
              <a:extLst>
                <a:ext uri="{FF2B5EF4-FFF2-40B4-BE49-F238E27FC236}">
                  <a16:creationId xmlns:a16="http://schemas.microsoft.com/office/drawing/2014/main" id="{00000000-0008-0000-0500-0000931A0000}"/>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(𝐸𝐽_0 )_(𝑡=∞)=∑𝐸_𝑖 𝐽_𝑖</a:t>
              </a:r>
              <a:endParaRPr lang="it-IT" sz="1100"/>
            </a:p>
          </xdr:txBody>
        </xdr:sp>
      </mc:Fallback>
    </mc:AlternateContent>
    <xdr:clientData/>
  </xdr:oneCellAnchor>
  <xdr:oneCellAnchor>
    <xdr:from>
      <xdr:col>1</xdr:col>
      <xdr:colOff>1138858</xdr:colOff>
      <xdr:row>224</xdr:row>
      <xdr:rowOff>0</xdr:rowOff>
    </xdr:from>
    <xdr:ext cx="1147142" cy="323850"/>
    <mc:AlternateContent xmlns:mc="http://schemas.openxmlformats.org/markup-compatibility/2006" xmlns:a14="http://schemas.microsoft.com/office/drawing/2010/main">
      <mc:Choice Requires="a14">
        <xdr:sp macro="" textlink="">
          <xdr:nvSpPr>
            <xdr:cNvPr id="6806" name="TextBox 6805">
              <a:extLst>
                <a:ext uri="{FF2B5EF4-FFF2-40B4-BE49-F238E27FC236}">
                  <a16:creationId xmlns:a16="http://schemas.microsoft.com/office/drawing/2014/main" id="{00000000-0008-0000-0500-0000961A0000}"/>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6" name="TextBox 6805">
              <a:extLst>
                <a:ext uri="{FF2B5EF4-FFF2-40B4-BE49-F238E27FC236}">
                  <a16:creationId xmlns:a16="http://schemas.microsoft.com/office/drawing/2014/main" id="{00000000-0008-0000-0500-0000961A0000}"/>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(𝐸𝐴_0 )_(𝑡=∞)=∑𝐸_𝑖 𝐴_𝑖</a:t>
              </a:r>
              <a:endParaRPr lang="it-IT" sz="1100"/>
            </a:p>
          </xdr:txBody>
        </xdr:sp>
      </mc:Fallback>
    </mc:AlternateContent>
    <xdr:clientData/>
  </xdr:oneCellAnchor>
  <xdr:oneCellAnchor>
    <xdr:from>
      <xdr:col>1</xdr:col>
      <xdr:colOff>0</xdr:colOff>
      <xdr:row>230</xdr:row>
      <xdr:rowOff>0</xdr:rowOff>
    </xdr:from>
    <xdr:ext cx="2286000" cy="476250"/>
    <mc:AlternateContent xmlns:mc="http://schemas.openxmlformats.org/markup-compatibility/2006" xmlns:a14="http://schemas.microsoft.com/office/drawing/2010/main">
      <mc:Choice Requires="a14">
        <xdr:sp macro="" textlink="">
          <xdr:nvSpPr>
            <xdr:cNvPr id="6826" name="TextBox 6825">
              <a:extLst>
                <a:ext uri="{FF2B5EF4-FFF2-40B4-BE49-F238E27FC236}">
                  <a16:creationId xmlns:a16="http://schemas.microsoft.com/office/drawing/2014/main" id="{00000000-0008-0000-0500-0000AA1A0000}"/>
                </a:ext>
              </a:extLst>
            </xdr:cNvPr>
            <xdr:cNvSpPr txBox="1"/>
          </xdr:nvSpPr>
          <xdr:spPr>
            <a:xfrm>
              <a:off x="95250" y="503872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6826" name="TextBox 6825">
              <a:extLst>
                <a:ext uri="{FF2B5EF4-FFF2-40B4-BE49-F238E27FC236}">
                  <a16:creationId xmlns:a16="http://schemas.microsoft.com/office/drawing/2014/main" id="{00000000-0008-0000-0500-0000AA1A0000}"/>
                </a:ext>
              </a:extLst>
            </xdr:cNvPr>
            <xdr:cNvSpPr txBox="1"/>
          </xdr:nvSpPr>
          <xdr:spPr>
            <a:xfrm>
              <a:off x="95250" y="503872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1</xdr:col>
      <xdr:colOff>0</xdr:colOff>
      <xdr:row>232</xdr:row>
      <xdr:rowOff>0</xdr:rowOff>
    </xdr:from>
    <xdr:ext cx="2286000" cy="476250"/>
    <mc:AlternateContent xmlns:mc="http://schemas.openxmlformats.org/markup-compatibility/2006" xmlns:a14="http://schemas.microsoft.com/office/drawing/2010/main">
      <mc:Choice Requires="a14">
        <xdr:sp macro="" textlink="">
          <xdr:nvSpPr>
            <xdr:cNvPr id="6827" name="TextBox 6826">
              <a:extLst>
                <a:ext uri="{FF2B5EF4-FFF2-40B4-BE49-F238E27FC236}">
                  <a16:creationId xmlns:a16="http://schemas.microsoft.com/office/drawing/2014/main" id="{00000000-0008-0000-0500-0000AB1A0000}"/>
                </a:ext>
              </a:extLst>
            </xdr:cNvPr>
            <xdr:cNvSpPr txBox="1"/>
          </xdr:nvSpPr>
          <xdr:spPr>
            <a:xfrm>
              <a:off x="95250" y="509587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6827" name="TextBox 6826">
              <a:extLst>
                <a:ext uri="{FF2B5EF4-FFF2-40B4-BE49-F238E27FC236}">
                  <a16:creationId xmlns:a16="http://schemas.microsoft.com/office/drawing/2014/main" id="{00000000-0008-0000-0500-0000AB1A0000}"/>
                </a:ext>
              </a:extLst>
            </xdr:cNvPr>
            <xdr:cNvSpPr txBox="1"/>
          </xdr:nvSpPr>
          <xdr:spPr>
            <a:xfrm>
              <a:off x="95250" y="509587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1</xdr:col>
      <xdr:colOff>0</xdr:colOff>
      <xdr:row>236</xdr:row>
      <xdr:rowOff>0</xdr:rowOff>
    </xdr:from>
    <xdr:ext cx="2286000" cy="361950"/>
    <mc:AlternateContent xmlns:mc="http://schemas.openxmlformats.org/markup-compatibility/2006" xmlns:a14="http://schemas.microsoft.com/office/drawing/2010/main">
      <mc:Choice Requires="a14">
        <xdr:sp macro="" textlink="">
          <xdr:nvSpPr>
            <xdr:cNvPr id="6828" name="TextBox 6827">
              <a:extLst>
                <a:ext uri="{FF2B5EF4-FFF2-40B4-BE49-F238E27FC236}">
                  <a16:creationId xmlns:a16="http://schemas.microsoft.com/office/drawing/2014/main" id="{00000000-0008-0000-0500-0000AC1A0000}"/>
                </a:ext>
              </a:extLst>
            </xdr:cNvPr>
            <xdr:cNvSpPr txBox="1"/>
          </xdr:nvSpPr>
          <xdr:spPr>
            <a:xfrm>
              <a:off x="95250" y="518064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6828" name="TextBox 6827">
              <a:extLst>
                <a:ext uri="{FF2B5EF4-FFF2-40B4-BE49-F238E27FC236}">
                  <a16:creationId xmlns:a16="http://schemas.microsoft.com/office/drawing/2014/main" id="{00000000-0008-0000-0500-0000AC1A0000}"/>
                </a:ext>
              </a:extLst>
            </xdr:cNvPr>
            <xdr:cNvSpPr txBox="1"/>
          </xdr:nvSpPr>
          <xdr:spPr>
            <a:xfrm>
              <a:off x="95250" y="518064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)_𝑒𝑓𝑓=𝐸_1 𝐽_1+𝐸_2 𝐽_2+𝐸_2 𝐴_2 𝑎_2^2+𝛾_1 𝐸_1 𝐴_1 𝑎_1^2</a:t>
              </a:r>
              <a:endParaRPr lang="it-IT" sz="1100"/>
            </a:p>
          </xdr:txBody>
        </xdr:sp>
      </mc:Fallback>
    </mc:AlternateContent>
    <xdr:clientData/>
  </xdr:oneCellAnchor>
  <xdr:oneCellAnchor>
    <xdr:from>
      <xdr:col>1</xdr:col>
      <xdr:colOff>0</xdr:colOff>
      <xdr:row>240</xdr:row>
      <xdr:rowOff>0</xdr:rowOff>
    </xdr:from>
    <xdr:ext cx="2286000" cy="381000"/>
    <mc:AlternateContent xmlns:mc="http://schemas.openxmlformats.org/markup-compatibility/2006" xmlns:a14="http://schemas.microsoft.com/office/drawing/2010/main">
      <mc:Choice Requires="a14">
        <xdr:sp macro="" textlink="">
          <xdr:nvSpPr>
            <xdr:cNvPr id="6829" name="TextBox 6828">
              <a:extLst>
                <a:ext uri="{FF2B5EF4-FFF2-40B4-BE49-F238E27FC236}">
                  <a16:creationId xmlns:a16="http://schemas.microsoft.com/office/drawing/2014/main" id="{00000000-0008-0000-0500-0000AD1A0000}"/>
                </a:ext>
              </a:extLst>
            </xdr:cNvPr>
            <xdr:cNvSpPr txBox="1"/>
          </xdr:nvSpPr>
          <xdr:spPr>
            <a:xfrm>
              <a:off x="95250" y="526446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6829" name="TextBox 6828">
              <a:extLst>
                <a:ext uri="{FF2B5EF4-FFF2-40B4-BE49-F238E27FC236}">
                  <a16:creationId xmlns:a16="http://schemas.microsoft.com/office/drawing/2014/main" id="{00000000-0008-0000-0500-0000AD1A0000}"/>
                </a:ext>
              </a:extLst>
            </xdr:cNvPr>
            <xdr:cNvSpPr txBox="1"/>
          </xdr:nvSpPr>
          <xdr:spPr>
            <a:xfrm>
              <a:off x="95250" y="526446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1138858</xdr:colOff>
      <xdr:row>226</xdr:row>
      <xdr:rowOff>0</xdr:rowOff>
    </xdr:from>
    <xdr:ext cx="1147142" cy="647700"/>
    <mc:AlternateContent xmlns:mc="http://schemas.openxmlformats.org/markup-compatibility/2006" xmlns:a14="http://schemas.microsoft.com/office/drawing/2010/main">
      <mc:Choice Requires="a14">
        <xdr:sp macro="" textlink="">
          <xdr:nvSpPr>
            <xdr:cNvPr id="6849" name="TextBox 6848">
              <a:extLst>
                <a:ext uri="{FF2B5EF4-FFF2-40B4-BE49-F238E27FC236}">
                  <a16:creationId xmlns:a16="http://schemas.microsoft.com/office/drawing/2014/main" id="{00000000-0008-0000-0500-0000C11A0000}"/>
                </a:ext>
              </a:extLst>
            </xdr:cNvPr>
            <xdr:cNvSpPr txBox="1"/>
          </xdr:nvSpPr>
          <xdr:spPr>
            <a:xfrm>
              <a:off x="1234108" y="4872037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6849" name="TextBox 6848">
              <a:extLst>
                <a:ext uri="{FF2B5EF4-FFF2-40B4-BE49-F238E27FC236}">
                  <a16:creationId xmlns:a16="http://schemas.microsoft.com/office/drawing/2014/main" id="{00000000-0008-0000-0500-0000C11A0000}"/>
                </a:ext>
              </a:extLst>
            </xdr:cNvPr>
            <xdr:cNvSpPr txBox="1"/>
          </xdr:nvSpPr>
          <xdr:spPr>
            <a:xfrm>
              <a:off x="1234108" y="4872037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229</xdr:row>
      <xdr:rowOff>0</xdr:rowOff>
    </xdr:from>
    <xdr:ext cx="2286000" cy="361950"/>
    <mc:AlternateContent xmlns:mc="http://schemas.openxmlformats.org/markup-compatibility/2006" xmlns:a14="http://schemas.microsoft.com/office/drawing/2010/main">
      <mc:Choice Requires="a14">
        <xdr:sp macro="" textlink="">
          <xdr:nvSpPr>
            <xdr:cNvPr id="6850" name="TextBox 6849">
              <a:extLst>
                <a:ext uri="{FF2B5EF4-FFF2-40B4-BE49-F238E27FC236}">
                  <a16:creationId xmlns:a16="http://schemas.microsoft.com/office/drawing/2014/main" id="{00000000-0008-0000-0500-0000C21A0000}"/>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6850" name="TextBox 6849">
              <a:extLst>
                <a:ext uri="{FF2B5EF4-FFF2-40B4-BE49-F238E27FC236}">
                  <a16:creationId xmlns:a16="http://schemas.microsoft.com/office/drawing/2014/main" id="{00000000-0008-0000-0500-0000C21A0000}"/>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)_(𝑡=∞)=(𝐸𝐽)_(𝑡=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(𝐸𝐴)_(𝑡=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)⋅𝑎^2</a:t>
              </a:r>
              <a:endParaRPr lang="it-IT" sz="1100"/>
            </a:p>
          </xdr:txBody>
        </xdr:sp>
      </mc:Fallback>
    </mc:AlternateContent>
    <xdr:clientData/>
  </xdr:oneCellAnchor>
  <xdr:oneCellAnchor>
    <xdr:from>
      <xdr:col>1</xdr:col>
      <xdr:colOff>0</xdr:colOff>
      <xdr:row>261</xdr:row>
      <xdr:rowOff>0</xdr:rowOff>
    </xdr:from>
    <xdr:ext cx="2286000" cy="361950"/>
    <mc:AlternateContent xmlns:mc="http://schemas.openxmlformats.org/markup-compatibility/2006" xmlns:a14="http://schemas.microsoft.com/office/drawing/2010/main">
      <mc:Choice Requires="a14">
        <xdr:sp macro="" textlink="">
          <xdr:nvSpPr>
            <xdr:cNvPr id="7018" name="TextBox 7017">
              <a:extLst>
                <a:ext uri="{FF2B5EF4-FFF2-40B4-BE49-F238E27FC236}">
                  <a16:creationId xmlns:a16="http://schemas.microsoft.com/office/drawing/2014/main" id="{00000000-0008-0000-0500-00006A1B0000}"/>
                </a:ext>
              </a:extLst>
            </xdr:cNvPr>
            <xdr:cNvSpPr txBox="1"/>
          </xdr:nvSpPr>
          <xdr:spPr>
            <a:xfrm>
              <a:off x="3810000" y="54292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018" name="TextBox 7017">
              <a:extLst>
                <a:ext uri="{FF2B5EF4-FFF2-40B4-BE49-F238E27FC236}">
                  <a16:creationId xmlns:a16="http://schemas.microsoft.com/office/drawing/2014/main" id="{00000000-0008-0000-0500-00006A1B0000}"/>
                </a:ext>
              </a:extLst>
            </xdr:cNvPr>
            <xdr:cNvSpPr txBox="1"/>
          </xdr:nvSpPr>
          <xdr:spPr>
            <a:xfrm>
              <a:off x="3810000" y="54292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1+𝜓_2⋅𝑘_𝑑𝑒𝑓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1</xdr:col>
      <xdr:colOff>0</xdr:colOff>
      <xdr:row>289</xdr:row>
      <xdr:rowOff>0</xdr:rowOff>
    </xdr:from>
    <xdr:ext cx="2286000" cy="361950"/>
    <mc:AlternateContent xmlns:mc="http://schemas.openxmlformats.org/markup-compatibility/2006" xmlns:a14="http://schemas.microsoft.com/office/drawing/2010/main">
      <mc:Choice Requires="a14">
        <xdr:sp macro="" textlink="">
          <xdr:nvSpPr>
            <xdr:cNvPr id="7019" name="TextBox 7018">
              <a:extLst>
                <a:ext uri="{FF2B5EF4-FFF2-40B4-BE49-F238E27FC236}">
                  <a16:creationId xmlns:a16="http://schemas.microsoft.com/office/drawing/2014/main" id="{00000000-0008-0000-0500-00006B1B0000}"/>
                </a:ext>
              </a:extLst>
            </xdr:cNvPr>
            <xdr:cNvSpPr txBox="1"/>
          </xdr:nvSpPr>
          <xdr:spPr>
            <a:xfrm>
              <a:off x="95250" y="604932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𝐾</m:t>
                            </m:r>
                          </m:e>
                          <m:sub>
                            <m:r>
                              <a:rPr lang="it-IT" sz="1100" b="0" i="1">
                                <a:solidFill>
                                  <a:schemeClr val="tx1"/>
                                </a:solidFill>
                                <a:effectLst/>
                                <a:latin typeface="Cambria Math" panose="02040503050406030204" pitchFamily="18" charset="0"/>
                                <a:ea typeface="+mn-ea"/>
                                <a:cs typeface="+mn-cs"/>
                              </a:rPr>
                              <m:t>𝑢</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019" name="TextBox 7018">
              <a:extLst>
                <a:ext uri="{FF2B5EF4-FFF2-40B4-BE49-F238E27FC236}">
                  <a16:creationId xmlns:a16="http://schemas.microsoft.com/office/drawing/2014/main" id="{91CC088A-49EE-4E10-9704-8C629A55D58D}"/>
                </a:ext>
              </a:extLst>
            </xdr:cNvPr>
            <xdr:cNvSpPr txBox="1"/>
          </xdr:nvSpPr>
          <xdr:spPr>
            <a:xfrm>
              <a:off x="95250" y="604932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𝐾_(𝑢</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𝐾</a:t>
              </a:r>
              <a:r>
                <a:rPr lang="it-IT" sz="1100" b="0" i="0">
                  <a:solidFill>
                    <a:schemeClr val="tx1"/>
                  </a:solidFill>
                  <a:effectLst/>
                  <a:latin typeface="+mn-lt"/>
                  <a:ea typeface="+mn-ea"/>
                  <a:cs typeface="+mn-cs"/>
                </a:rPr>
                <a:t>_</a:t>
              </a:r>
              <a:r>
                <a:rPr lang="it-IT" sz="1100" b="0" i="0">
                  <a:solidFill>
                    <a:schemeClr val="tx1"/>
                  </a:solidFill>
                  <a:effectLst/>
                  <a:latin typeface="Cambria Math" panose="02040503050406030204" pitchFamily="18" charset="0"/>
                  <a:ea typeface="+mn-ea"/>
                  <a:cs typeface="+mn-cs"/>
                </a:rPr>
                <a:t>𝑢/(</a:t>
              </a:r>
              <a:r>
                <a:rPr lang="it-IT" sz="1100" b="0" i="0">
                  <a:latin typeface="Cambria Math" panose="02040503050406030204" pitchFamily="18" charset="0"/>
                </a:rPr>
                <a:t>1+𝜓_2⋅𝑘_𝑑𝑒𝑓 )</a:t>
              </a:r>
              <a:endParaRPr lang="it-IT" sz="1100"/>
            </a:p>
          </xdr:txBody>
        </xdr:sp>
      </mc:Fallback>
    </mc:AlternateContent>
    <xdr:clientData/>
  </xdr:oneCellAnchor>
  <xdr:oneCellAnchor>
    <xdr:from>
      <xdr:col>2</xdr:col>
      <xdr:colOff>0</xdr:colOff>
      <xdr:row>268</xdr:row>
      <xdr:rowOff>0</xdr:rowOff>
    </xdr:from>
    <xdr:ext cx="1147142" cy="323850"/>
    <mc:AlternateContent xmlns:mc="http://schemas.openxmlformats.org/markup-compatibility/2006" xmlns:a14="http://schemas.microsoft.com/office/drawing/2010/main">
      <mc:Choice Requires="a14">
        <xdr:sp macro="" textlink="">
          <xdr:nvSpPr>
            <xdr:cNvPr id="7020" name="TextBox 7019">
              <a:extLst>
                <a:ext uri="{FF2B5EF4-FFF2-40B4-BE49-F238E27FC236}">
                  <a16:creationId xmlns:a16="http://schemas.microsoft.com/office/drawing/2014/main" id="{00000000-0008-0000-0500-00006C1B0000}"/>
                </a:ext>
              </a:extLst>
            </xdr:cNvPr>
            <xdr:cNvSpPr txBox="1"/>
          </xdr:nvSpPr>
          <xdr:spPr>
            <a:xfrm>
              <a:off x="1238250" y="554926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020" name="TextBox 7019">
              <a:extLst>
                <a:ext uri="{FF2B5EF4-FFF2-40B4-BE49-F238E27FC236}">
                  <a16:creationId xmlns:a16="http://schemas.microsoft.com/office/drawing/2014/main" id="{DC3615BF-059D-471A-9DFE-7C0BEA058A87}"/>
                </a:ext>
              </a:extLst>
            </xdr:cNvPr>
            <xdr:cNvSpPr txBox="1"/>
          </xdr:nvSpPr>
          <xdr:spPr>
            <a:xfrm>
              <a:off x="1238250" y="554926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(𝐸𝐽_0 )_(𝑡=∞)=∑𝐸_𝑖 𝐽_𝑖</a:t>
              </a:r>
              <a:endParaRPr lang="it-IT" sz="1100"/>
            </a:p>
          </xdr:txBody>
        </xdr:sp>
      </mc:Fallback>
    </mc:AlternateContent>
    <xdr:clientData/>
  </xdr:oneCellAnchor>
  <xdr:oneCellAnchor>
    <xdr:from>
      <xdr:col>1</xdr:col>
      <xdr:colOff>1138858</xdr:colOff>
      <xdr:row>269</xdr:row>
      <xdr:rowOff>0</xdr:rowOff>
    </xdr:from>
    <xdr:ext cx="1147142" cy="323850"/>
    <mc:AlternateContent xmlns:mc="http://schemas.openxmlformats.org/markup-compatibility/2006" xmlns:a14="http://schemas.microsoft.com/office/drawing/2010/main">
      <mc:Choice Requires="a14">
        <xdr:sp macro="" textlink="">
          <xdr:nvSpPr>
            <xdr:cNvPr id="7021" name="TextBox 7020">
              <a:extLst>
                <a:ext uri="{FF2B5EF4-FFF2-40B4-BE49-F238E27FC236}">
                  <a16:creationId xmlns:a16="http://schemas.microsoft.com/office/drawing/2014/main" id="{00000000-0008-0000-0500-00006D1B0000}"/>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021" name="TextBox 7020">
              <a:extLst>
                <a:ext uri="{FF2B5EF4-FFF2-40B4-BE49-F238E27FC236}">
                  <a16:creationId xmlns:a16="http://schemas.microsoft.com/office/drawing/2014/main" id="{A619CC6A-6448-4974-89D6-2E12189A48BA}"/>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(𝐸𝐴_0 )_(𝑡=∞)=∑𝐸_𝑖 𝐴_𝑖</a:t>
              </a:r>
              <a:endParaRPr lang="it-IT" sz="1100"/>
            </a:p>
          </xdr:txBody>
        </xdr:sp>
      </mc:Fallback>
    </mc:AlternateContent>
    <xdr:clientData/>
  </xdr:oneCellAnchor>
  <xdr:oneCellAnchor>
    <xdr:from>
      <xdr:col>1</xdr:col>
      <xdr:colOff>0</xdr:colOff>
      <xdr:row>275</xdr:row>
      <xdr:rowOff>0</xdr:rowOff>
    </xdr:from>
    <xdr:ext cx="2286000" cy="476250"/>
    <mc:AlternateContent xmlns:mc="http://schemas.openxmlformats.org/markup-compatibility/2006" xmlns:a14="http://schemas.microsoft.com/office/drawing/2010/main">
      <mc:Choice Requires="a14">
        <xdr:sp macro="" textlink="">
          <xdr:nvSpPr>
            <xdr:cNvPr id="7022" name="TextBox 7021">
              <a:extLst>
                <a:ext uri="{FF2B5EF4-FFF2-40B4-BE49-F238E27FC236}">
                  <a16:creationId xmlns:a16="http://schemas.microsoft.com/office/drawing/2014/main" id="{00000000-0008-0000-0500-00006E1B0000}"/>
                </a:ext>
              </a:extLst>
            </xdr:cNvPr>
            <xdr:cNvSpPr txBox="1"/>
          </xdr:nvSpPr>
          <xdr:spPr>
            <a:xfrm>
              <a:off x="95250" y="57521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7022" name="TextBox 7021">
              <a:extLst>
                <a:ext uri="{FF2B5EF4-FFF2-40B4-BE49-F238E27FC236}">
                  <a16:creationId xmlns:a16="http://schemas.microsoft.com/office/drawing/2014/main" id="{2BEB6AEC-5F78-428C-9EF2-5DA22DCD494C}"/>
                </a:ext>
              </a:extLst>
            </xdr:cNvPr>
            <xdr:cNvSpPr txBox="1"/>
          </xdr:nvSpPr>
          <xdr:spPr>
            <a:xfrm>
              <a:off x="95250" y="57521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1</xdr:col>
      <xdr:colOff>0</xdr:colOff>
      <xdr:row>277</xdr:row>
      <xdr:rowOff>0</xdr:rowOff>
    </xdr:from>
    <xdr:ext cx="2286000" cy="476250"/>
    <mc:AlternateContent xmlns:mc="http://schemas.openxmlformats.org/markup-compatibility/2006" xmlns:a14="http://schemas.microsoft.com/office/drawing/2010/main">
      <mc:Choice Requires="a14">
        <xdr:sp macro="" textlink="">
          <xdr:nvSpPr>
            <xdr:cNvPr id="7023" name="TextBox 7022">
              <a:extLst>
                <a:ext uri="{FF2B5EF4-FFF2-40B4-BE49-F238E27FC236}">
                  <a16:creationId xmlns:a16="http://schemas.microsoft.com/office/drawing/2014/main" id="{00000000-0008-0000-0500-00006F1B0000}"/>
                </a:ext>
              </a:extLst>
            </xdr:cNvPr>
            <xdr:cNvSpPr txBox="1"/>
          </xdr:nvSpPr>
          <xdr:spPr>
            <a:xfrm>
              <a:off x="95250" y="580929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7023" name="TextBox 7022">
              <a:extLst>
                <a:ext uri="{FF2B5EF4-FFF2-40B4-BE49-F238E27FC236}">
                  <a16:creationId xmlns:a16="http://schemas.microsoft.com/office/drawing/2014/main" id="{C5459023-DAB8-4FFC-9616-1C52C99B433A}"/>
                </a:ext>
              </a:extLst>
            </xdr:cNvPr>
            <xdr:cNvSpPr txBox="1"/>
          </xdr:nvSpPr>
          <xdr:spPr>
            <a:xfrm>
              <a:off x="95250" y="580929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1</xdr:col>
      <xdr:colOff>0</xdr:colOff>
      <xdr:row>281</xdr:row>
      <xdr:rowOff>0</xdr:rowOff>
    </xdr:from>
    <xdr:ext cx="2286000" cy="361950"/>
    <mc:AlternateContent xmlns:mc="http://schemas.openxmlformats.org/markup-compatibility/2006" xmlns:a14="http://schemas.microsoft.com/office/drawing/2010/main">
      <mc:Choice Requires="a14">
        <xdr:sp macro="" textlink="">
          <xdr:nvSpPr>
            <xdr:cNvPr id="7024" name="TextBox 7023">
              <a:extLst>
                <a:ext uri="{FF2B5EF4-FFF2-40B4-BE49-F238E27FC236}">
                  <a16:creationId xmlns:a16="http://schemas.microsoft.com/office/drawing/2014/main" id="{00000000-0008-0000-0500-0000701B0000}"/>
                </a:ext>
              </a:extLst>
            </xdr:cNvPr>
            <xdr:cNvSpPr txBox="1"/>
          </xdr:nvSpPr>
          <xdr:spPr>
            <a:xfrm>
              <a:off x="95250" y="589407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7024" name="TextBox 7023">
              <a:extLst>
                <a:ext uri="{FF2B5EF4-FFF2-40B4-BE49-F238E27FC236}">
                  <a16:creationId xmlns:a16="http://schemas.microsoft.com/office/drawing/2014/main" id="{00000000-0008-0000-0500-0000701B0000}"/>
                </a:ext>
              </a:extLst>
            </xdr:cNvPr>
            <xdr:cNvSpPr txBox="1"/>
          </xdr:nvSpPr>
          <xdr:spPr>
            <a:xfrm>
              <a:off x="95250" y="589407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)_(𝑡=∞)=𝐸_1 𝐽_1+𝐸_2 𝐽_2+𝐸_2 𝐴_2 𝑎_2^2+𝛾_1 𝐸_1 𝐴_1 𝑎_1^2</a:t>
              </a:r>
              <a:endParaRPr lang="it-IT" sz="1100"/>
            </a:p>
          </xdr:txBody>
        </xdr:sp>
      </mc:Fallback>
    </mc:AlternateContent>
    <xdr:clientData/>
  </xdr:oneCellAnchor>
  <xdr:oneCellAnchor>
    <xdr:from>
      <xdr:col>1</xdr:col>
      <xdr:colOff>0</xdr:colOff>
      <xdr:row>285</xdr:row>
      <xdr:rowOff>0</xdr:rowOff>
    </xdr:from>
    <xdr:ext cx="2286000" cy="381000"/>
    <mc:AlternateContent xmlns:mc="http://schemas.openxmlformats.org/markup-compatibility/2006" xmlns:a14="http://schemas.microsoft.com/office/drawing/2010/main">
      <mc:Choice Requires="a14">
        <xdr:sp macro="" textlink="">
          <xdr:nvSpPr>
            <xdr:cNvPr id="7025" name="TextBox 7024">
              <a:extLst>
                <a:ext uri="{FF2B5EF4-FFF2-40B4-BE49-F238E27FC236}">
                  <a16:creationId xmlns:a16="http://schemas.microsoft.com/office/drawing/2014/main" id="{00000000-0008-0000-0500-0000711B0000}"/>
                </a:ext>
              </a:extLst>
            </xdr:cNvPr>
            <xdr:cNvSpPr txBox="1"/>
          </xdr:nvSpPr>
          <xdr:spPr>
            <a:xfrm>
              <a:off x="95250" y="597789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7025" name="TextBox 7024">
              <a:extLst>
                <a:ext uri="{FF2B5EF4-FFF2-40B4-BE49-F238E27FC236}">
                  <a16:creationId xmlns:a16="http://schemas.microsoft.com/office/drawing/2014/main" id="{6ED1CB4F-8D57-46F3-8E33-459F817EDE77}"/>
                </a:ext>
              </a:extLst>
            </xdr:cNvPr>
            <xdr:cNvSpPr txBox="1"/>
          </xdr:nvSpPr>
          <xdr:spPr>
            <a:xfrm>
              <a:off x="95250" y="597789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1138858</xdr:colOff>
      <xdr:row>271</xdr:row>
      <xdr:rowOff>0</xdr:rowOff>
    </xdr:from>
    <xdr:ext cx="1147142" cy="647700"/>
    <mc:AlternateContent xmlns:mc="http://schemas.openxmlformats.org/markup-compatibility/2006" xmlns:a14="http://schemas.microsoft.com/office/drawing/2010/main">
      <mc:Choice Requires="a14">
        <xdr:sp macro="" textlink="">
          <xdr:nvSpPr>
            <xdr:cNvPr id="7026" name="TextBox 7025">
              <a:extLst>
                <a:ext uri="{FF2B5EF4-FFF2-40B4-BE49-F238E27FC236}">
                  <a16:creationId xmlns:a16="http://schemas.microsoft.com/office/drawing/2014/main" id="{00000000-0008-0000-0500-0000721B0000}"/>
                </a:ext>
              </a:extLst>
            </xdr:cNvPr>
            <xdr:cNvSpPr txBox="1"/>
          </xdr:nvSpPr>
          <xdr:spPr>
            <a:xfrm>
              <a:off x="1234108" y="562356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7026" name="TextBox 7025">
              <a:extLst>
                <a:ext uri="{FF2B5EF4-FFF2-40B4-BE49-F238E27FC236}">
                  <a16:creationId xmlns:a16="http://schemas.microsoft.com/office/drawing/2014/main" id="{B39D3457-2FF8-4FFF-8A64-B806FDDAAEEC}"/>
                </a:ext>
              </a:extLst>
            </xdr:cNvPr>
            <xdr:cNvSpPr txBox="1"/>
          </xdr:nvSpPr>
          <xdr:spPr>
            <a:xfrm>
              <a:off x="1234108" y="562356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274</xdr:row>
      <xdr:rowOff>0</xdr:rowOff>
    </xdr:from>
    <xdr:ext cx="2286000" cy="361950"/>
    <mc:AlternateContent xmlns:mc="http://schemas.openxmlformats.org/markup-compatibility/2006" xmlns:a14="http://schemas.microsoft.com/office/drawing/2010/main">
      <mc:Choice Requires="a14">
        <xdr:sp macro="" textlink="">
          <xdr:nvSpPr>
            <xdr:cNvPr id="7027" name="TextBox 7026">
              <a:extLst>
                <a:ext uri="{FF2B5EF4-FFF2-40B4-BE49-F238E27FC236}">
                  <a16:creationId xmlns:a16="http://schemas.microsoft.com/office/drawing/2014/main" id="{00000000-0008-0000-0500-0000731B0000}"/>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7027" name="TextBox 7026">
              <a:extLst>
                <a:ext uri="{FF2B5EF4-FFF2-40B4-BE49-F238E27FC236}">
                  <a16:creationId xmlns:a16="http://schemas.microsoft.com/office/drawing/2014/main" id="{00000000-0008-0000-0500-0000731B0000}"/>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=(𝐸𝐽)_(𝑡=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(𝐸𝐴)_(𝑡=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)⋅𝑎^2</a:t>
              </a:r>
              <a:endParaRPr lang="it-IT" sz="1100"/>
            </a:p>
          </xdr:txBody>
        </xdr:sp>
      </mc:Fallback>
    </mc:AlternateContent>
    <xdr:clientData/>
  </xdr:oneCellAnchor>
  <xdr:oneCellAnchor>
    <xdr:from>
      <xdr:col>1</xdr:col>
      <xdr:colOff>0</xdr:colOff>
      <xdr:row>299</xdr:row>
      <xdr:rowOff>1</xdr:rowOff>
    </xdr:from>
    <xdr:ext cx="2286000" cy="381000"/>
    <mc:AlternateContent xmlns:mc="http://schemas.openxmlformats.org/markup-compatibility/2006" xmlns:a14="http://schemas.microsoft.com/office/drawing/2010/main">
      <mc:Choice Requires="a14">
        <xdr:sp macro="" textlink="">
          <xdr:nvSpPr>
            <xdr:cNvPr id="7208" name="TextBox 7207">
              <a:extLst>
                <a:ext uri="{FF2B5EF4-FFF2-40B4-BE49-F238E27FC236}">
                  <a16:creationId xmlns:a16="http://schemas.microsoft.com/office/drawing/2014/main" id="{00000000-0008-0000-0500-0000281C0000}"/>
                </a:ext>
              </a:extLst>
            </xdr:cNvPr>
            <xdr:cNvSpPr txBox="1"/>
          </xdr:nvSpPr>
          <xdr:spPr>
            <a:xfrm>
              <a:off x="95250" y="7951470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1</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7208" name="TextBox 7207">
              <a:extLst>
                <a:ext uri="{FF2B5EF4-FFF2-40B4-BE49-F238E27FC236}">
                  <a16:creationId xmlns:a16="http://schemas.microsoft.com/office/drawing/2014/main" id="{97B05965-AFD7-A71F-954A-B21B6B704DA1}"/>
                </a:ext>
              </a:extLst>
            </xdr:cNvPr>
            <xdr:cNvSpPr txBox="1"/>
          </xdr:nvSpPr>
          <xdr:spPr>
            <a:xfrm>
              <a:off x="95250" y="7951470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𝑁_(1,𝑑)=(𝛾_1 𝐸_1 𝐴_1 𝑎_1)/(𝐸𝐽)_𝑒𝑓𝑓   𝑀_(𝑠,𝑑)</a:t>
              </a:r>
              <a:endParaRPr lang="it-IT" sz="1100"/>
            </a:p>
          </xdr:txBody>
        </xdr:sp>
      </mc:Fallback>
    </mc:AlternateContent>
    <xdr:clientData/>
  </xdr:oneCellAnchor>
  <xdr:oneCellAnchor>
    <xdr:from>
      <xdr:col>1</xdr:col>
      <xdr:colOff>0</xdr:colOff>
      <xdr:row>302</xdr:row>
      <xdr:rowOff>1</xdr:rowOff>
    </xdr:from>
    <xdr:ext cx="2286000" cy="381000"/>
    <mc:AlternateContent xmlns:mc="http://schemas.openxmlformats.org/markup-compatibility/2006" xmlns:a14="http://schemas.microsoft.com/office/drawing/2010/main">
      <mc:Choice Requires="a14">
        <xdr:sp macro="" textlink="">
          <xdr:nvSpPr>
            <xdr:cNvPr id="7210" name="TextBox 7209">
              <a:extLst>
                <a:ext uri="{FF2B5EF4-FFF2-40B4-BE49-F238E27FC236}">
                  <a16:creationId xmlns:a16="http://schemas.microsoft.com/office/drawing/2014/main" id="{00000000-0008-0000-0500-00002A1C0000}"/>
                </a:ext>
              </a:extLst>
            </xdr:cNvPr>
            <xdr:cNvSpPr txBox="1"/>
          </xdr:nvSpPr>
          <xdr:spPr>
            <a:xfrm>
              <a:off x="95250" y="7808595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7210" name="TextBox 7209">
              <a:extLst>
                <a:ext uri="{FF2B5EF4-FFF2-40B4-BE49-F238E27FC236}">
                  <a16:creationId xmlns:a16="http://schemas.microsoft.com/office/drawing/2014/main" id="{CC9D8C39-0EA7-4372-84CA-F0D208C085AD}"/>
                </a:ext>
              </a:extLst>
            </xdr:cNvPr>
            <xdr:cNvSpPr txBox="1"/>
          </xdr:nvSpPr>
          <xdr:spPr>
            <a:xfrm>
              <a:off x="95250" y="7808595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𝑀_(1,𝑑)=(𝐸_1 𝐽_1)/(𝐸𝐽)_𝑒𝑓𝑓   𝑀_(𝑠,𝑑)</a:t>
              </a:r>
              <a:endParaRPr lang="it-IT" sz="1100"/>
            </a:p>
          </xdr:txBody>
        </xdr:sp>
      </mc:Fallback>
    </mc:AlternateContent>
    <xdr:clientData/>
  </xdr:oneCellAnchor>
  <xdr:oneCellAnchor>
    <xdr:from>
      <xdr:col>2</xdr:col>
      <xdr:colOff>0</xdr:colOff>
      <xdr:row>304</xdr:row>
      <xdr:rowOff>0</xdr:rowOff>
    </xdr:from>
    <xdr:ext cx="1143000" cy="381000"/>
    <mc:AlternateContent xmlns:mc="http://schemas.openxmlformats.org/markup-compatibility/2006" xmlns:a14="http://schemas.microsoft.com/office/drawing/2010/main">
      <mc:Choice Requires="a14">
        <xdr:sp macro="" textlink="">
          <xdr:nvSpPr>
            <xdr:cNvPr id="7211" name="TextBox 7210">
              <a:extLst>
                <a:ext uri="{FF2B5EF4-FFF2-40B4-BE49-F238E27FC236}">
                  <a16:creationId xmlns:a16="http://schemas.microsoft.com/office/drawing/2014/main" id="{00000000-0008-0000-0500-00002B1C0000}"/>
                </a:ext>
              </a:extLst>
            </xdr:cNvPr>
            <xdr:cNvSpPr txBox="1"/>
          </xdr:nvSpPr>
          <xdr:spPr>
            <a:xfrm>
              <a:off x="1238250" y="79219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r>
                          <a:rPr lang="it-IT" sz="1100" b="0" i="1">
                            <a:latin typeface="Cambria Math" panose="02040503050406030204" pitchFamily="18" charset="0"/>
                          </a:rPr>
                          <m:t>𝑁</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1,</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den>
                    </m:f>
                  </m:oMath>
                </m:oMathPara>
              </a14:m>
              <a:endParaRPr lang="it-IT" sz="1100"/>
            </a:p>
          </xdr:txBody>
        </xdr:sp>
      </mc:Choice>
      <mc:Fallback xmlns="">
        <xdr:sp macro="" textlink="">
          <xdr:nvSpPr>
            <xdr:cNvPr id="7211" name="TextBox 7210">
              <a:extLst>
                <a:ext uri="{FF2B5EF4-FFF2-40B4-BE49-F238E27FC236}">
                  <a16:creationId xmlns:a16="http://schemas.microsoft.com/office/drawing/2014/main" id="{4F021BEE-87BA-04FB-2DA2-90DE9652A9A5}"/>
                </a:ext>
              </a:extLst>
            </xdr:cNvPr>
            <xdr:cNvSpPr txBox="1"/>
          </xdr:nvSpPr>
          <xdr:spPr>
            <a:xfrm>
              <a:off x="1238250" y="79219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𝜎_(1,𝑁)=𝑁_(1,𝑑)/𝐴_1 </a:t>
              </a:r>
              <a:endParaRPr lang="it-IT" sz="1100"/>
            </a:p>
          </xdr:txBody>
        </xdr:sp>
      </mc:Fallback>
    </mc:AlternateContent>
    <xdr:clientData/>
  </xdr:oneCellAnchor>
  <xdr:oneCellAnchor>
    <xdr:from>
      <xdr:col>2</xdr:col>
      <xdr:colOff>0</xdr:colOff>
      <xdr:row>305</xdr:row>
      <xdr:rowOff>0</xdr:rowOff>
    </xdr:from>
    <xdr:ext cx="1143000" cy="381000"/>
    <mc:AlternateContent xmlns:mc="http://schemas.openxmlformats.org/markup-compatibility/2006" xmlns:a14="http://schemas.microsoft.com/office/drawing/2010/main">
      <mc:Choice Requires="a14">
        <xdr:sp macro="" textlink="">
          <xdr:nvSpPr>
            <xdr:cNvPr id="7212" name="TextBox 7211">
              <a:extLst>
                <a:ext uri="{FF2B5EF4-FFF2-40B4-BE49-F238E27FC236}">
                  <a16:creationId xmlns:a16="http://schemas.microsoft.com/office/drawing/2014/main" id="{00000000-0008-0000-0500-00002C1C0000}"/>
                </a:ext>
              </a:extLst>
            </xdr:cNvPr>
            <xdr:cNvSpPr txBox="1"/>
          </xdr:nvSpPr>
          <xdr:spPr>
            <a:xfrm>
              <a:off x="1238250" y="79600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r>
                          <a:rPr lang="it-IT" sz="1100" b="0" i="1">
                            <a:latin typeface="Cambria Math" panose="02040503050406030204" pitchFamily="18" charset="0"/>
                          </a:rPr>
                          <m:t>𝑀</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2 </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den>
                    </m:f>
                  </m:oMath>
                </m:oMathPara>
              </a14:m>
              <a:endParaRPr lang="it-IT" sz="1100"/>
            </a:p>
          </xdr:txBody>
        </xdr:sp>
      </mc:Choice>
      <mc:Fallback xmlns="">
        <xdr:sp macro="" textlink="">
          <xdr:nvSpPr>
            <xdr:cNvPr id="7212" name="TextBox 7211">
              <a:extLst>
                <a:ext uri="{FF2B5EF4-FFF2-40B4-BE49-F238E27FC236}">
                  <a16:creationId xmlns:a16="http://schemas.microsoft.com/office/drawing/2014/main" id="{DD836091-FDB7-A461-8C98-22FD8474CF8C}"/>
                </a:ext>
              </a:extLst>
            </xdr:cNvPr>
            <xdr:cNvSpPr txBox="1"/>
          </xdr:nvSpPr>
          <xdr:spPr>
            <a:xfrm>
              <a:off x="1238250" y="79600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𝜎_(1,𝑀)=(𝑀_(1,𝑑)⋅ℎ_1)/(2 𝐽_1 )</a:t>
              </a:r>
              <a:endParaRPr lang="it-IT" sz="1100"/>
            </a:p>
          </xdr:txBody>
        </xdr:sp>
      </mc:Fallback>
    </mc:AlternateContent>
    <xdr:clientData/>
  </xdr:oneCellAnchor>
  <xdr:oneCellAnchor>
    <xdr:from>
      <xdr:col>1</xdr:col>
      <xdr:colOff>0</xdr:colOff>
      <xdr:row>308</xdr:row>
      <xdr:rowOff>0</xdr:rowOff>
    </xdr:from>
    <xdr:ext cx="2286000" cy="381000"/>
    <mc:AlternateContent xmlns:mc="http://schemas.openxmlformats.org/markup-compatibility/2006" xmlns:a14="http://schemas.microsoft.com/office/drawing/2010/main">
      <mc:Choice Requires="a14">
        <xdr:sp macro="" textlink="">
          <xdr:nvSpPr>
            <xdr:cNvPr id="7213" name="TextBox 7212">
              <a:extLst>
                <a:ext uri="{FF2B5EF4-FFF2-40B4-BE49-F238E27FC236}">
                  <a16:creationId xmlns:a16="http://schemas.microsoft.com/office/drawing/2014/main" id="{00000000-0008-0000-0500-00002D1C0000}"/>
                </a:ext>
              </a:extLst>
            </xdr:cNvPr>
            <xdr:cNvSpPr txBox="1"/>
          </xdr:nvSpPr>
          <xdr:spPr>
            <a:xfrm>
              <a:off x="95250" y="80257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r>
                              <a:rPr lang="it-IT" sz="1100" b="0" i="1">
                                <a:latin typeface="Cambria Math" panose="02040503050406030204" pitchFamily="18" charset="0"/>
                              </a:rPr>
                              <m:t>𝑁</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𝑐</m:t>
                            </m:r>
                            <m:r>
                              <a:rPr lang="it-IT" sz="1100" b="0" i="1">
                                <a:latin typeface="Cambria Math" panose="02040503050406030204" pitchFamily="18" charset="0"/>
                              </a:rPr>
                              <m:t>,0,</m:t>
                            </m:r>
                            <m:r>
                              <a:rPr lang="it-IT" sz="1100" b="0" i="1">
                                <a:latin typeface="Cambria Math" panose="02040503050406030204" pitchFamily="18" charset="0"/>
                              </a:rPr>
                              <m:t>𝑑</m:t>
                            </m:r>
                          </m:sub>
                        </m:sSub>
                      </m:den>
                    </m:f>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𝜎</m:t>
                            </m:r>
                          </m:e>
                          <m:sub>
                            <m:r>
                              <a:rPr lang="it-IT" sz="1100" b="0" i="1">
                                <a:solidFill>
                                  <a:schemeClr val="tx1"/>
                                </a:solidFill>
                                <a:effectLst/>
                                <a:latin typeface="Cambria Math" panose="02040503050406030204" pitchFamily="18" charset="0"/>
                                <a:ea typeface="+mn-ea"/>
                                <a:cs typeface="+mn-cs"/>
                              </a:rPr>
                              <m:t>1,</m:t>
                            </m:r>
                            <m:r>
                              <a:rPr lang="it-IT" sz="1100" b="0" i="1">
                                <a:solidFill>
                                  <a:schemeClr val="tx1"/>
                                </a:solidFill>
                                <a:effectLst/>
                                <a:latin typeface="Cambria Math" panose="02040503050406030204" pitchFamily="18" charset="0"/>
                                <a:ea typeface="+mn-ea"/>
                                <a:cs typeface="+mn-cs"/>
                              </a:rPr>
                              <m:t>𝑀</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𝑚</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den>
                    </m:f>
                    <m:r>
                      <a:rPr lang="it-IT" sz="1100" b="0" i="1">
                        <a:solidFill>
                          <a:schemeClr val="tx1"/>
                        </a:solidFill>
                        <a:effectLst/>
                        <a:latin typeface="Cambria Math" panose="02040503050406030204" pitchFamily="18" charset="0"/>
                        <a:ea typeface="+mn-ea"/>
                        <a:cs typeface="+mn-cs"/>
                      </a:rPr>
                      <m:t>≤1</m:t>
                    </m:r>
                  </m:oMath>
                </m:oMathPara>
              </a14:m>
              <a:endParaRPr lang="it-IT" sz="1100"/>
            </a:p>
          </xdr:txBody>
        </xdr:sp>
      </mc:Choice>
      <mc:Fallback xmlns="">
        <xdr:sp macro="" textlink="">
          <xdr:nvSpPr>
            <xdr:cNvPr id="7213" name="TextBox 7212">
              <a:extLst>
                <a:ext uri="{FF2B5EF4-FFF2-40B4-BE49-F238E27FC236}">
                  <a16:creationId xmlns:a16="http://schemas.microsoft.com/office/drawing/2014/main" id="{00000000-0008-0000-0500-00002D1C0000}"/>
                </a:ext>
              </a:extLst>
            </xdr:cNvPr>
            <xdr:cNvSpPr txBox="1"/>
          </xdr:nvSpPr>
          <xdr:spPr>
            <a:xfrm>
              <a:off x="95250" y="80257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𝜎_(1,𝑁)/𝑓_(𝑐,0,𝑑) +</a:t>
              </a:r>
              <a:r>
                <a:rPr lang="it-IT" sz="1100" b="0" i="0">
                  <a:solidFill>
                    <a:schemeClr val="tx1"/>
                  </a:solidFill>
                  <a:effectLst/>
                  <a:latin typeface="Cambria Math" panose="02040503050406030204" pitchFamily="18" charset="0"/>
                  <a:ea typeface="+mn-ea"/>
                  <a:cs typeface="+mn-cs"/>
                </a:rPr>
                <a:t>𝜎_(1,𝑀)/𝑓_(𝑚,𝑦,𝑑) ≤1</a:t>
              </a:r>
              <a:endParaRPr lang="it-IT" sz="1100"/>
            </a:p>
          </xdr:txBody>
        </xdr:sp>
      </mc:Fallback>
    </mc:AlternateContent>
    <xdr:clientData/>
  </xdr:oneCellAnchor>
  <xdr:oneCellAnchor>
    <xdr:from>
      <xdr:col>1</xdr:col>
      <xdr:colOff>0</xdr:colOff>
      <xdr:row>197</xdr:row>
      <xdr:rowOff>0</xdr:rowOff>
    </xdr:from>
    <xdr:ext cx="2286000" cy="361950"/>
    <mc:AlternateContent xmlns:mc="http://schemas.openxmlformats.org/markup-compatibility/2006" xmlns:a14="http://schemas.microsoft.com/office/drawing/2010/main">
      <mc:Choice Requires="a14">
        <xdr:sp macro="" textlink="">
          <xdr:nvSpPr>
            <xdr:cNvPr id="7218" name="TextBox 7217">
              <a:extLst>
                <a:ext uri="{FF2B5EF4-FFF2-40B4-BE49-F238E27FC236}">
                  <a16:creationId xmlns:a16="http://schemas.microsoft.com/office/drawing/2014/main" id="{00000000-0008-0000-0500-0000321C0000}"/>
                </a:ext>
              </a:extLst>
            </xdr:cNvPr>
            <xdr:cNvSpPr txBox="1"/>
          </xdr:nvSpPr>
          <xdr:spPr>
            <a:xfrm>
              <a:off x="95250" y="528923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7218" name="TextBox 7217">
              <a:extLst>
                <a:ext uri="{FF2B5EF4-FFF2-40B4-BE49-F238E27FC236}">
                  <a16:creationId xmlns:a16="http://schemas.microsoft.com/office/drawing/2014/main" id="{E95AA9DE-FDB0-436F-B677-C0AD082190AC}"/>
                </a:ext>
              </a:extLst>
            </xdr:cNvPr>
            <xdr:cNvSpPr txBox="1"/>
          </xdr:nvSpPr>
          <xdr:spPr>
            <a:xfrm>
              <a:off x="95250" y="528923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(𝐸𝐽_0 )_𝑒𝑓𝑓=𝐸_1 𝐽_1+𝐸_2 𝐽_2+𝐸_2 𝐴_2 𝑎_2^2+𝛾_1 𝐸_1 𝐴_1 𝑎_1^2</a:t>
              </a:r>
              <a:endParaRPr lang="it-IT" sz="1100"/>
            </a:p>
          </xdr:txBody>
        </xdr:sp>
      </mc:Fallback>
    </mc:AlternateContent>
    <xdr:clientData/>
  </xdr:oneCellAnchor>
  <xdr:oneCellAnchor>
    <xdr:from>
      <xdr:col>7</xdr:col>
      <xdr:colOff>1138858</xdr:colOff>
      <xdr:row>186</xdr:row>
      <xdr:rowOff>0</xdr:rowOff>
    </xdr:from>
    <xdr:ext cx="1147142" cy="647700"/>
    <mc:AlternateContent xmlns:mc="http://schemas.openxmlformats.org/markup-compatibility/2006" xmlns:a14="http://schemas.microsoft.com/office/drawing/2010/main">
      <mc:Choice Requires="a14">
        <xdr:sp macro="" textlink="">
          <xdr:nvSpPr>
            <xdr:cNvPr id="7222" name="TextBox 7221">
              <a:extLst>
                <a:ext uri="{FF2B5EF4-FFF2-40B4-BE49-F238E27FC236}">
                  <a16:creationId xmlns:a16="http://schemas.microsoft.com/office/drawing/2014/main" id="{00000000-0008-0000-0500-0000361C0000}"/>
                </a:ext>
              </a:extLst>
            </xdr:cNvPr>
            <xdr:cNvSpPr txBox="1"/>
          </xdr:nvSpPr>
          <xdr:spPr>
            <a:xfrm>
              <a:off x="1234108" y="5007292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7222" name="TextBox 7221">
              <a:extLst>
                <a:ext uri="{FF2B5EF4-FFF2-40B4-BE49-F238E27FC236}">
                  <a16:creationId xmlns:a16="http://schemas.microsoft.com/office/drawing/2014/main" id="{5D3334A9-421A-4431-8BA6-64C6A891DC50}"/>
                </a:ext>
              </a:extLst>
            </xdr:cNvPr>
            <xdr:cNvSpPr txBox="1"/>
          </xdr:nvSpPr>
          <xdr:spPr>
            <a:xfrm>
              <a:off x="1234108" y="5007292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7</xdr:col>
      <xdr:colOff>0</xdr:colOff>
      <xdr:row>189</xdr:row>
      <xdr:rowOff>0</xdr:rowOff>
    </xdr:from>
    <xdr:ext cx="2286000" cy="361950"/>
    <mc:AlternateContent xmlns:mc="http://schemas.openxmlformats.org/markup-compatibility/2006" xmlns:a14="http://schemas.microsoft.com/office/drawing/2010/main">
      <mc:Choice Requires="a14">
        <xdr:sp macro="" textlink="">
          <xdr:nvSpPr>
            <xdr:cNvPr id="7223" name="TextBox 7222">
              <a:extLst>
                <a:ext uri="{FF2B5EF4-FFF2-40B4-BE49-F238E27FC236}">
                  <a16:creationId xmlns:a16="http://schemas.microsoft.com/office/drawing/2014/main" id="{00000000-0008-0000-0500-0000371C0000}"/>
                </a:ext>
              </a:extLst>
            </xdr:cNvPr>
            <xdr:cNvSpPr txBox="1"/>
          </xdr:nvSpPr>
          <xdr:spPr>
            <a:xfrm>
              <a:off x="95250" y="509968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=0</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7223" name="TextBox 7222">
              <a:extLst>
                <a:ext uri="{FF2B5EF4-FFF2-40B4-BE49-F238E27FC236}">
                  <a16:creationId xmlns:a16="http://schemas.microsoft.com/office/drawing/2014/main" id="{E5D15B71-2853-42B3-937A-E996ED9EAE61}"/>
                </a:ext>
              </a:extLst>
            </xdr:cNvPr>
            <xdr:cNvSpPr txBox="1"/>
          </xdr:nvSpPr>
          <xdr:spPr>
            <a:xfrm>
              <a:off x="95250" y="509968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)_(𝑡=0)=(𝐸𝐽)_(𝑡=0)+</a:t>
              </a:r>
              <a:r>
                <a:rPr lang="it-IT" sz="1100" b="0" i="0">
                  <a:solidFill>
                    <a:schemeClr val="tx1"/>
                  </a:solidFill>
                  <a:effectLst/>
                  <a:latin typeface="Cambria Math" panose="02040503050406030204" pitchFamily="18" charset="0"/>
                  <a:ea typeface="+mn-ea"/>
                  <a:cs typeface="+mn-cs"/>
                </a:rPr>
                <a:t>(𝐸𝐴)_(𝑡=0)⋅𝑎^2</a:t>
              </a:r>
              <a:endParaRPr lang="it-IT" sz="1100"/>
            </a:p>
          </xdr:txBody>
        </xdr:sp>
      </mc:Fallback>
    </mc:AlternateContent>
    <xdr:clientData/>
  </xdr:oneCellAnchor>
  <xdr:oneCellAnchor>
    <xdr:from>
      <xdr:col>7</xdr:col>
      <xdr:colOff>0</xdr:colOff>
      <xdr:row>193</xdr:row>
      <xdr:rowOff>0</xdr:rowOff>
    </xdr:from>
    <xdr:ext cx="2286000" cy="476250"/>
    <mc:AlternateContent xmlns:mc="http://schemas.openxmlformats.org/markup-compatibility/2006" xmlns:a14="http://schemas.microsoft.com/office/drawing/2010/main">
      <mc:Choice Requires="a14">
        <xdr:sp macro="" textlink="">
          <xdr:nvSpPr>
            <xdr:cNvPr id="7224" name="TextBox 7223">
              <a:extLst>
                <a:ext uri="{FF2B5EF4-FFF2-40B4-BE49-F238E27FC236}">
                  <a16:creationId xmlns:a16="http://schemas.microsoft.com/office/drawing/2014/main" id="{00000000-0008-0000-0500-0000381C0000}"/>
                </a:ext>
              </a:extLst>
            </xdr:cNvPr>
            <xdr:cNvSpPr txBox="1"/>
          </xdr:nvSpPr>
          <xdr:spPr>
            <a:xfrm>
              <a:off x="95250" y="5166360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7224" name="TextBox 7223">
              <a:extLst>
                <a:ext uri="{FF2B5EF4-FFF2-40B4-BE49-F238E27FC236}">
                  <a16:creationId xmlns:a16="http://schemas.microsoft.com/office/drawing/2014/main" id="{F6A5D355-A175-4C0A-8BC8-91F9EA97833D}"/>
                </a:ext>
              </a:extLst>
            </xdr:cNvPr>
            <xdr:cNvSpPr txBox="1"/>
          </xdr:nvSpPr>
          <xdr:spPr>
            <a:xfrm>
              <a:off x="95250" y="5166360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7</xdr:col>
      <xdr:colOff>0</xdr:colOff>
      <xdr:row>194</xdr:row>
      <xdr:rowOff>0</xdr:rowOff>
    </xdr:from>
    <xdr:ext cx="2286000" cy="476250"/>
    <mc:AlternateContent xmlns:mc="http://schemas.openxmlformats.org/markup-compatibility/2006" xmlns:a14="http://schemas.microsoft.com/office/drawing/2010/main">
      <mc:Choice Requires="a14">
        <xdr:sp macro="" textlink="">
          <xdr:nvSpPr>
            <xdr:cNvPr id="7225" name="TextBox 7224">
              <a:extLst>
                <a:ext uri="{FF2B5EF4-FFF2-40B4-BE49-F238E27FC236}">
                  <a16:creationId xmlns:a16="http://schemas.microsoft.com/office/drawing/2014/main" id="{00000000-0008-0000-0500-0000391C0000}"/>
                </a:ext>
              </a:extLst>
            </xdr:cNvPr>
            <xdr:cNvSpPr txBox="1"/>
          </xdr:nvSpPr>
          <xdr:spPr>
            <a:xfrm>
              <a:off x="95250" y="521398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7225" name="TextBox 7224">
              <a:extLst>
                <a:ext uri="{FF2B5EF4-FFF2-40B4-BE49-F238E27FC236}">
                  <a16:creationId xmlns:a16="http://schemas.microsoft.com/office/drawing/2014/main" id="{479BD69A-9E2B-4DEF-8CE2-06EE4B84D869}"/>
                </a:ext>
              </a:extLst>
            </xdr:cNvPr>
            <xdr:cNvSpPr txBox="1"/>
          </xdr:nvSpPr>
          <xdr:spPr>
            <a:xfrm>
              <a:off x="95250" y="521398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7</xdr:col>
      <xdr:colOff>0</xdr:colOff>
      <xdr:row>197</xdr:row>
      <xdr:rowOff>0</xdr:rowOff>
    </xdr:from>
    <xdr:ext cx="2286000" cy="361950"/>
    <mc:AlternateContent xmlns:mc="http://schemas.openxmlformats.org/markup-compatibility/2006" xmlns:a14="http://schemas.microsoft.com/office/drawing/2010/main">
      <mc:Choice Requires="a14">
        <xdr:sp macro="" textlink="">
          <xdr:nvSpPr>
            <xdr:cNvPr id="7226" name="TextBox 7225">
              <a:extLst>
                <a:ext uri="{FF2B5EF4-FFF2-40B4-BE49-F238E27FC236}">
                  <a16:creationId xmlns:a16="http://schemas.microsoft.com/office/drawing/2014/main" id="{00000000-0008-0000-0500-00003A1C0000}"/>
                </a:ext>
              </a:extLst>
            </xdr:cNvPr>
            <xdr:cNvSpPr txBox="1"/>
          </xdr:nvSpPr>
          <xdr:spPr>
            <a:xfrm>
              <a:off x="95250" y="528923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7226" name="TextBox 7225">
              <a:extLst>
                <a:ext uri="{FF2B5EF4-FFF2-40B4-BE49-F238E27FC236}">
                  <a16:creationId xmlns:a16="http://schemas.microsoft.com/office/drawing/2014/main" id="{A73C06CD-9111-46BE-B71F-49E561A549E6}"/>
                </a:ext>
              </a:extLst>
            </xdr:cNvPr>
            <xdr:cNvSpPr txBox="1"/>
          </xdr:nvSpPr>
          <xdr:spPr>
            <a:xfrm>
              <a:off x="95250" y="528923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(𝐸𝐽_0 )_𝑒𝑓𝑓=𝐸_1 𝐽_1+𝐸_2 𝐽_2+𝐸_2 𝐴_2 𝑎_2^2+𝛾_1 𝐸_1 𝐴_1 𝑎_1^2</a:t>
              </a:r>
              <a:endParaRPr lang="it-IT" sz="1100"/>
            </a:p>
          </xdr:txBody>
        </xdr:sp>
      </mc:Fallback>
    </mc:AlternateContent>
    <xdr:clientData/>
  </xdr:oneCellAnchor>
  <xdr:oneCellAnchor>
    <xdr:from>
      <xdr:col>7</xdr:col>
      <xdr:colOff>0</xdr:colOff>
      <xdr:row>201</xdr:row>
      <xdr:rowOff>0</xdr:rowOff>
    </xdr:from>
    <xdr:ext cx="2286000" cy="381000"/>
    <mc:AlternateContent xmlns:mc="http://schemas.openxmlformats.org/markup-compatibility/2006" xmlns:a14="http://schemas.microsoft.com/office/drawing/2010/main">
      <mc:Choice Requires="a14">
        <xdr:sp macro="" textlink="">
          <xdr:nvSpPr>
            <xdr:cNvPr id="7227" name="TextBox 7226">
              <a:extLst>
                <a:ext uri="{FF2B5EF4-FFF2-40B4-BE49-F238E27FC236}">
                  <a16:creationId xmlns:a16="http://schemas.microsoft.com/office/drawing/2014/main" id="{00000000-0008-0000-0500-00003B1C0000}"/>
                </a:ext>
              </a:extLst>
            </xdr:cNvPr>
            <xdr:cNvSpPr txBox="1"/>
          </xdr:nvSpPr>
          <xdr:spPr>
            <a:xfrm>
              <a:off x="95250" y="537305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7227" name="TextBox 7226">
              <a:extLst>
                <a:ext uri="{FF2B5EF4-FFF2-40B4-BE49-F238E27FC236}">
                  <a16:creationId xmlns:a16="http://schemas.microsoft.com/office/drawing/2014/main" id="{1A1D1D64-F516-4A97-AF24-00884A244ED8}"/>
                </a:ext>
              </a:extLst>
            </xdr:cNvPr>
            <xdr:cNvSpPr txBox="1"/>
          </xdr:nvSpPr>
          <xdr:spPr>
            <a:xfrm>
              <a:off x="95250" y="537305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8</xdr:col>
      <xdr:colOff>0</xdr:colOff>
      <xdr:row>183</xdr:row>
      <xdr:rowOff>0</xdr:rowOff>
    </xdr:from>
    <xdr:ext cx="1147142" cy="323850"/>
    <mc:AlternateContent xmlns:mc="http://schemas.openxmlformats.org/markup-compatibility/2006" xmlns:a14="http://schemas.microsoft.com/office/drawing/2010/main">
      <mc:Choice Requires="a14">
        <xdr:sp macro="" textlink="">
          <xdr:nvSpPr>
            <xdr:cNvPr id="7228" name="TextBox 7227">
              <a:extLst>
                <a:ext uri="{FF2B5EF4-FFF2-40B4-BE49-F238E27FC236}">
                  <a16:creationId xmlns:a16="http://schemas.microsoft.com/office/drawing/2014/main" id="{00000000-0008-0000-0500-00003C1C0000}"/>
                </a:ext>
              </a:extLst>
            </xdr:cNvPr>
            <xdr:cNvSpPr txBox="1"/>
          </xdr:nvSpPr>
          <xdr:spPr>
            <a:xfrm>
              <a:off x="1238250" y="4932997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228" name="TextBox 7227">
              <a:extLst>
                <a:ext uri="{FF2B5EF4-FFF2-40B4-BE49-F238E27FC236}">
                  <a16:creationId xmlns:a16="http://schemas.microsoft.com/office/drawing/2014/main" id="{3276CDF0-2825-4FB0-A5E0-1BA8D6D6D730}"/>
                </a:ext>
              </a:extLst>
            </xdr:cNvPr>
            <xdr:cNvSpPr txBox="1"/>
          </xdr:nvSpPr>
          <xdr:spPr>
            <a:xfrm>
              <a:off x="1238250" y="4932997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(𝐸𝐽_0 )_(𝑡=0)=∑𝐸_𝑖 𝐽_𝑖</a:t>
              </a:r>
              <a:endParaRPr lang="it-IT" sz="1100"/>
            </a:p>
          </xdr:txBody>
        </xdr:sp>
      </mc:Fallback>
    </mc:AlternateContent>
    <xdr:clientData/>
  </xdr:oneCellAnchor>
  <xdr:oneCellAnchor>
    <xdr:from>
      <xdr:col>7</xdr:col>
      <xdr:colOff>1138858</xdr:colOff>
      <xdr:row>184</xdr:row>
      <xdr:rowOff>0</xdr:rowOff>
    </xdr:from>
    <xdr:ext cx="1147142" cy="323850"/>
    <mc:AlternateContent xmlns:mc="http://schemas.openxmlformats.org/markup-compatibility/2006" xmlns:a14="http://schemas.microsoft.com/office/drawing/2010/main">
      <mc:Choice Requires="a14">
        <xdr:sp macro="" textlink="">
          <xdr:nvSpPr>
            <xdr:cNvPr id="7229" name="TextBox 7228">
              <a:extLst>
                <a:ext uri="{FF2B5EF4-FFF2-40B4-BE49-F238E27FC236}">
                  <a16:creationId xmlns:a16="http://schemas.microsoft.com/office/drawing/2014/main" id="{00000000-0008-0000-0500-00003D1C0000}"/>
                </a:ext>
              </a:extLst>
            </xdr:cNvPr>
            <xdr:cNvSpPr txBox="1"/>
          </xdr:nvSpPr>
          <xdr:spPr>
            <a:xfrm>
              <a:off x="1234108" y="4965382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229" name="TextBox 7228">
              <a:extLst>
                <a:ext uri="{FF2B5EF4-FFF2-40B4-BE49-F238E27FC236}">
                  <a16:creationId xmlns:a16="http://schemas.microsoft.com/office/drawing/2014/main" id="{17FE4F0D-56BA-4B45-B14D-56071C02320C}"/>
                </a:ext>
              </a:extLst>
            </xdr:cNvPr>
            <xdr:cNvSpPr txBox="1"/>
          </xdr:nvSpPr>
          <xdr:spPr>
            <a:xfrm>
              <a:off x="1234108" y="4965382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(𝐸𝐴_0 )_(𝑡=0)=∑𝐸_𝑖 𝐴_𝑖</a:t>
              </a:r>
              <a:endParaRPr lang="it-IT" sz="1100"/>
            </a:p>
          </xdr:txBody>
        </xdr:sp>
      </mc:Fallback>
    </mc:AlternateContent>
    <xdr:clientData/>
  </xdr:oneCellAnchor>
  <xdr:oneCellAnchor>
    <xdr:from>
      <xdr:col>7</xdr:col>
      <xdr:colOff>0</xdr:colOff>
      <xdr:row>209</xdr:row>
      <xdr:rowOff>0</xdr:rowOff>
    </xdr:from>
    <xdr:ext cx="2286000" cy="361950"/>
    <mc:AlternateContent xmlns:mc="http://schemas.openxmlformats.org/markup-compatibility/2006" xmlns:a14="http://schemas.microsoft.com/office/drawing/2010/main">
      <mc:Choice Requires="a14">
        <xdr:sp macro="" textlink="">
          <xdr:nvSpPr>
            <xdr:cNvPr id="7238" name="TextBox 7237">
              <a:extLst>
                <a:ext uri="{FF2B5EF4-FFF2-40B4-BE49-F238E27FC236}">
                  <a16:creationId xmlns:a16="http://schemas.microsoft.com/office/drawing/2014/main" id="{00000000-0008-0000-0500-0000461C0000}"/>
                </a:ext>
              </a:extLst>
            </xdr:cNvPr>
            <xdr:cNvSpPr txBox="1"/>
          </xdr:nvSpPr>
          <xdr:spPr>
            <a:xfrm>
              <a:off x="95250" y="559117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r>
                              <a:rPr lang="it-IT" sz="1100" b="0" i="1">
                                <a:latin typeface="Cambria Math" panose="02040503050406030204" pitchFamily="18" charset="0"/>
                              </a:rPr>
                              <m:t>𝑖</m:t>
                            </m:r>
                            <m:r>
                              <a:rPr lang="it-IT" sz="1100" b="0" i="1">
                                <a:latin typeface="Cambria Math" panose="02040503050406030204" pitchFamily="18" charset="0"/>
                              </a:rPr>
                              <m:t>,</m:t>
                            </m:r>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238" name="TextBox 7237">
              <a:extLst>
                <a:ext uri="{FF2B5EF4-FFF2-40B4-BE49-F238E27FC236}">
                  <a16:creationId xmlns:a16="http://schemas.microsoft.com/office/drawing/2014/main" id="{A3406362-6E3D-40BF-8C90-F9BF0E27E441}"/>
                </a:ext>
              </a:extLst>
            </xdr:cNvPr>
            <xdr:cNvSpPr txBox="1"/>
          </xdr:nvSpPr>
          <xdr:spPr>
            <a:xfrm>
              <a:off x="95250" y="559117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1+𝜓_(2,𝑖,𝑡=∞)⋅𝑘_𝑑𝑒𝑓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7</xdr:col>
      <xdr:colOff>0</xdr:colOff>
      <xdr:row>216</xdr:row>
      <xdr:rowOff>0</xdr:rowOff>
    </xdr:from>
    <xdr:ext cx="2286000" cy="361950"/>
    <mc:AlternateContent xmlns:mc="http://schemas.openxmlformats.org/markup-compatibility/2006" xmlns:a14="http://schemas.microsoft.com/office/drawing/2010/main">
      <mc:Choice Requires="a14">
        <xdr:sp macro="" textlink="">
          <xdr:nvSpPr>
            <xdr:cNvPr id="7239" name="TextBox 7238">
              <a:extLst>
                <a:ext uri="{FF2B5EF4-FFF2-40B4-BE49-F238E27FC236}">
                  <a16:creationId xmlns:a16="http://schemas.microsoft.com/office/drawing/2014/main" id="{00000000-0008-0000-0500-0000471C0000}"/>
                </a:ext>
              </a:extLst>
            </xdr:cNvPr>
            <xdr:cNvSpPr txBox="1"/>
          </xdr:nvSpPr>
          <xdr:spPr>
            <a:xfrm>
              <a:off x="95250" y="570452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𝜓</m:t>
                            </m:r>
                          </m:e>
                          <m:sub>
                            <m:r>
                              <a:rPr lang="it-IT" sz="1100" b="0" i="1">
                                <a:solidFill>
                                  <a:schemeClr val="tx1"/>
                                </a:solidFill>
                                <a:effectLst/>
                                <a:latin typeface="Cambria Math" panose="02040503050406030204" pitchFamily="18" charset="0"/>
                                <a:ea typeface="+mn-ea"/>
                                <a:cs typeface="+mn-cs"/>
                              </a:rPr>
                              <m:t>2,</m:t>
                            </m:r>
                            <m:r>
                              <a:rPr lang="it-IT" sz="1100" b="0" i="1">
                                <a:solidFill>
                                  <a:schemeClr val="tx1"/>
                                </a:solidFill>
                                <a:effectLst/>
                                <a:latin typeface="Cambria Math" panose="02040503050406030204" pitchFamily="18" charset="0"/>
                                <a:ea typeface="+mn-ea"/>
                                <a:cs typeface="+mn-cs"/>
                              </a:rPr>
                              <m:t>𝑖</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239" name="TextBox 7238">
              <a:extLst>
                <a:ext uri="{FF2B5EF4-FFF2-40B4-BE49-F238E27FC236}">
                  <a16:creationId xmlns:a16="http://schemas.microsoft.com/office/drawing/2014/main" id="{BF4094E2-EE67-4D99-A696-59446BF7FBCD}"/>
                </a:ext>
              </a:extLst>
            </xdr:cNvPr>
            <xdr:cNvSpPr txBox="1"/>
          </xdr:nvSpPr>
          <xdr:spPr>
            <a:xfrm>
              <a:off x="95250" y="570452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a:t>
              </a:r>
              <a:r>
                <a:rPr lang="it-IT" sz="1100" b="0" i="0">
                  <a:solidFill>
                    <a:schemeClr val="tx1"/>
                  </a:solidFill>
                  <a:effectLst/>
                  <a:latin typeface="+mn-lt"/>
                  <a:ea typeface="+mn-ea"/>
                  <a:cs typeface="+mn-cs"/>
                </a:rPr>
                <a:t>𝜓_(2,𝑖,𝑡=∞)</a:t>
              </a:r>
              <a:r>
                <a:rPr lang="it-IT" sz="1100" b="0" i="0">
                  <a:latin typeface="Cambria Math" panose="02040503050406030204" pitchFamily="18" charset="0"/>
                </a:rPr>
                <a:t>⋅𝑘_𝑑𝑒𝑓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7</xdr:col>
      <xdr:colOff>0</xdr:colOff>
      <xdr:row>244</xdr:row>
      <xdr:rowOff>0</xdr:rowOff>
    </xdr:from>
    <xdr:ext cx="2286000" cy="361950"/>
    <mc:AlternateContent xmlns:mc="http://schemas.openxmlformats.org/markup-compatibility/2006" xmlns:a14="http://schemas.microsoft.com/office/drawing/2010/main">
      <mc:Choice Requires="a14">
        <xdr:sp macro="" textlink="">
          <xdr:nvSpPr>
            <xdr:cNvPr id="7240" name="TextBox 7239">
              <a:extLst>
                <a:ext uri="{FF2B5EF4-FFF2-40B4-BE49-F238E27FC236}">
                  <a16:creationId xmlns:a16="http://schemas.microsoft.com/office/drawing/2014/main" id="{00000000-0008-0000-0500-0000481C0000}"/>
                </a:ext>
              </a:extLst>
            </xdr:cNvPr>
            <xdr:cNvSpPr txBox="1"/>
          </xdr:nvSpPr>
          <xdr:spPr>
            <a:xfrm>
              <a:off x="95250" y="631126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𝐾</m:t>
                            </m:r>
                          </m:e>
                          <m:sub>
                            <m:r>
                              <a:rPr lang="it-IT" sz="1100" b="0" i="1">
                                <a:solidFill>
                                  <a:schemeClr val="tx1"/>
                                </a:solidFill>
                                <a:effectLst/>
                                <a:latin typeface="Cambria Math" panose="02040503050406030204" pitchFamily="18" charset="0"/>
                                <a:ea typeface="+mn-ea"/>
                                <a:cs typeface="+mn-cs"/>
                              </a:rPr>
                              <m:t>𝑢</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240" name="TextBox 7239">
              <a:extLst>
                <a:ext uri="{FF2B5EF4-FFF2-40B4-BE49-F238E27FC236}">
                  <a16:creationId xmlns:a16="http://schemas.microsoft.com/office/drawing/2014/main" id="{E4D6DD52-B08F-4459-A205-6A1B7D41DA79}"/>
                </a:ext>
              </a:extLst>
            </xdr:cNvPr>
            <xdr:cNvSpPr txBox="1"/>
          </xdr:nvSpPr>
          <xdr:spPr>
            <a:xfrm>
              <a:off x="95250" y="631126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𝐾_(𝑢</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𝐾_𝑢/(</a:t>
              </a:r>
              <a:r>
                <a:rPr lang="it-IT" sz="1100" b="0" i="0">
                  <a:latin typeface="Cambria Math" panose="02040503050406030204" pitchFamily="18" charset="0"/>
                </a:rPr>
                <a:t>1+𝜓_2⋅𝑘_𝑑𝑒𝑓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8</xdr:col>
      <xdr:colOff>0</xdr:colOff>
      <xdr:row>223</xdr:row>
      <xdr:rowOff>0</xdr:rowOff>
    </xdr:from>
    <xdr:ext cx="1147142" cy="323850"/>
    <mc:AlternateContent xmlns:mc="http://schemas.openxmlformats.org/markup-compatibility/2006" xmlns:a14="http://schemas.microsoft.com/office/drawing/2010/main">
      <mc:Choice Requires="a14">
        <xdr:sp macro="" textlink="">
          <xdr:nvSpPr>
            <xdr:cNvPr id="7241" name="TextBox 7240">
              <a:extLst>
                <a:ext uri="{FF2B5EF4-FFF2-40B4-BE49-F238E27FC236}">
                  <a16:creationId xmlns:a16="http://schemas.microsoft.com/office/drawing/2014/main" id="{00000000-0008-0000-0500-0000491C0000}"/>
                </a:ext>
              </a:extLst>
            </xdr:cNvPr>
            <xdr:cNvSpPr txBox="1"/>
          </xdr:nvSpPr>
          <xdr:spPr>
            <a:xfrm>
              <a:off x="1238250" y="58102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241" name="TextBox 7240">
              <a:extLst>
                <a:ext uri="{FF2B5EF4-FFF2-40B4-BE49-F238E27FC236}">
                  <a16:creationId xmlns:a16="http://schemas.microsoft.com/office/drawing/2014/main" id="{83CEF149-1A19-4531-B0C0-3F4615756857}"/>
                </a:ext>
              </a:extLst>
            </xdr:cNvPr>
            <xdr:cNvSpPr txBox="1"/>
          </xdr:nvSpPr>
          <xdr:spPr>
            <a:xfrm>
              <a:off x="1238250" y="58102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(𝐸𝐽_0 )_(𝑡=∞)=∑𝐸_𝑖 𝐽_𝑖</a:t>
              </a:r>
              <a:endParaRPr lang="it-IT" sz="1100"/>
            </a:p>
          </xdr:txBody>
        </xdr:sp>
      </mc:Fallback>
    </mc:AlternateContent>
    <xdr:clientData/>
  </xdr:oneCellAnchor>
  <xdr:oneCellAnchor>
    <xdr:from>
      <xdr:col>7</xdr:col>
      <xdr:colOff>1138858</xdr:colOff>
      <xdr:row>224</xdr:row>
      <xdr:rowOff>0</xdr:rowOff>
    </xdr:from>
    <xdr:ext cx="1147142" cy="323850"/>
    <mc:AlternateContent xmlns:mc="http://schemas.openxmlformats.org/markup-compatibility/2006" xmlns:a14="http://schemas.microsoft.com/office/drawing/2010/main">
      <mc:Choice Requires="a14">
        <xdr:sp macro="" textlink="">
          <xdr:nvSpPr>
            <xdr:cNvPr id="7242" name="TextBox 7241">
              <a:extLst>
                <a:ext uri="{FF2B5EF4-FFF2-40B4-BE49-F238E27FC236}">
                  <a16:creationId xmlns:a16="http://schemas.microsoft.com/office/drawing/2014/main" id="{00000000-0008-0000-0500-00004A1C0000}"/>
                </a:ext>
              </a:extLst>
            </xdr:cNvPr>
            <xdr:cNvSpPr txBox="1"/>
          </xdr:nvSpPr>
          <xdr:spPr>
            <a:xfrm>
              <a:off x="1234108" y="584263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242" name="TextBox 7241">
              <a:extLst>
                <a:ext uri="{FF2B5EF4-FFF2-40B4-BE49-F238E27FC236}">
                  <a16:creationId xmlns:a16="http://schemas.microsoft.com/office/drawing/2014/main" id="{E0F27297-5086-42AD-A3F9-ED5711994075}"/>
                </a:ext>
              </a:extLst>
            </xdr:cNvPr>
            <xdr:cNvSpPr txBox="1"/>
          </xdr:nvSpPr>
          <xdr:spPr>
            <a:xfrm>
              <a:off x="1234108" y="584263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(𝐸𝐴_0 )_(𝑡=∞)=∑𝐸_𝑖 𝐴_𝑖</a:t>
              </a:r>
              <a:endParaRPr lang="it-IT" sz="1100"/>
            </a:p>
          </xdr:txBody>
        </xdr:sp>
      </mc:Fallback>
    </mc:AlternateContent>
    <xdr:clientData/>
  </xdr:oneCellAnchor>
  <xdr:oneCellAnchor>
    <xdr:from>
      <xdr:col>7</xdr:col>
      <xdr:colOff>0</xdr:colOff>
      <xdr:row>230</xdr:row>
      <xdr:rowOff>0</xdr:rowOff>
    </xdr:from>
    <xdr:ext cx="2286000" cy="476250"/>
    <mc:AlternateContent xmlns:mc="http://schemas.openxmlformats.org/markup-compatibility/2006" xmlns:a14="http://schemas.microsoft.com/office/drawing/2010/main">
      <mc:Choice Requires="a14">
        <xdr:sp macro="" textlink="">
          <xdr:nvSpPr>
            <xdr:cNvPr id="7243" name="TextBox 7242">
              <a:extLst>
                <a:ext uri="{FF2B5EF4-FFF2-40B4-BE49-F238E27FC236}">
                  <a16:creationId xmlns:a16="http://schemas.microsoft.com/office/drawing/2014/main" id="{00000000-0008-0000-0500-00004B1C0000}"/>
                </a:ext>
              </a:extLst>
            </xdr:cNvPr>
            <xdr:cNvSpPr txBox="1"/>
          </xdr:nvSpPr>
          <xdr:spPr>
            <a:xfrm>
              <a:off x="95250" y="601313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7243" name="TextBox 7242">
              <a:extLst>
                <a:ext uri="{FF2B5EF4-FFF2-40B4-BE49-F238E27FC236}">
                  <a16:creationId xmlns:a16="http://schemas.microsoft.com/office/drawing/2014/main" id="{CF84236E-ECC5-4D85-B249-77A5056D48B4}"/>
                </a:ext>
              </a:extLst>
            </xdr:cNvPr>
            <xdr:cNvSpPr txBox="1"/>
          </xdr:nvSpPr>
          <xdr:spPr>
            <a:xfrm>
              <a:off x="95250" y="601313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7</xdr:col>
      <xdr:colOff>0</xdr:colOff>
      <xdr:row>232</xdr:row>
      <xdr:rowOff>0</xdr:rowOff>
    </xdr:from>
    <xdr:ext cx="2286000" cy="476250"/>
    <mc:AlternateContent xmlns:mc="http://schemas.openxmlformats.org/markup-compatibility/2006" xmlns:a14="http://schemas.microsoft.com/office/drawing/2010/main">
      <mc:Choice Requires="a14">
        <xdr:sp macro="" textlink="">
          <xdr:nvSpPr>
            <xdr:cNvPr id="7244" name="TextBox 7243">
              <a:extLst>
                <a:ext uri="{FF2B5EF4-FFF2-40B4-BE49-F238E27FC236}">
                  <a16:creationId xmlns:a16="http://schemas.microsoft.com/office/drawing/2014/main" id="{00000000-0008-0000-0500-00004C1C0000}"/>
                </a:ext>
              </a:extLst>
            </xdr:cNvPr>
            <xdr:cNvSpPr txBox="1"/>
          </xdr:nvSpPr>
          <xdr:spPr>
            <a:xfrm>
              <a:off x="95250" y="607028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7244" name="TextBox 7243">
              <a:extLst>
                <a:ext uri="{FF2B5EF4-FFF2-40B4-BE49-F238E27FC236}">
                  <a16:creationId xmlns:a16="http://schemas.microsoft.com/office/drawing/2014/main" id="{4892EABF-CB76-414A-90B1-A029BD8B5B77}"/>
                </a:ext>
              </a:extLst>
            </xdr:cNvPr>
            <xdr:cNvSpPr txBox="1"/>
          </xdr:nvSpPr>
          <xdr:spPr>
            <a:xfrm>
              <a:off x="95250" y="607028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7</xdr:col>
      <xdr:colOff>0</xdr:colOff>
      <xdr:row>236</xdr:row>
      <xdr:rowOff>0</xdr:rowOff>
    </xdr:from>
    <xdr:ext cx="2286000" cy="361950"/>
    <mc:AlternateContent xmlns:mc="http://schemas.openxmlformats.org/markup-compatibility/2006" xmlns:a14="http://schemas.microsoft.com/office/drawing/2010/main">
      <mc:Choice Requires="a14">
        <xdr:sp macro="" textlink="">
          <xdr:nvSpPr>
            <xdr:cNvPr id="7245" name="TextBox 7244">
              <a:extLst>
                <a:ext uri="{FF2B5EF4-FFF2-40B4-BE49-F238E27FC236}">
                  <a16:creationId xmlns:a16="http://schemas.microsoft.com/office/drawing/2014/main" id="{00000000-0008-0000-0500-00004D1C0000}"/>
                </a:ext>
              </a:extLst>
            </xdr:cNvPr>
            <xdr:cNvSpPr txBox="1"/>
          </xdr:nvSpPr>
          <xdr:spPr>
            <a:xfrm>
              <a:off x="95250" y="615600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7245" name="TextBox 7244">
              <a:extLst>
                <a:ext uri="{FF2B5EF4-FFF2-40B4-BE49-F238E27FC236}">
                  <a16:creationId xmlns:a16="http://schemas.microsoft.com/office/drawing/2014/main" id="{C1135BD9-F15B-440D-9200-F493CA0D3BB6}"/>
                </a:ext>
              </a:extLst>
            </xdr:cNvPr>
            <xdr:cNvSpPr txBox="1"/>
          </xdr:nvSpPr>
          <xdr:spPr>
            <a:xfrm>
              <a:off x="95250" y="615600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)_𝑒𝑓𝑓=𝐸_1 𝐽_1+𝐸_2 𝐽_2+𝐸_2 𝐴_2 𝑎_2^2+𝛾_1 𝐸_1 𝐴_1 𝑎_1^2</a:t>
              </a:r>
              <a:endParaRPr lang="it-IT" sz="1100"/>
            </a:p>
          </xdr:txBody>
        </xdr:sp>
      </mc:Fallback>
    </mc:AlternateContent>
    <xdr:clientData/>
  </xdr:oneCellAnchor>
  <xdr:oneCellAnchor>
    <xdr:from>
      <xdr:col>7</xdr:col>
      <xdr:colOff>0</xdr:colOff>
      <xdr:row>240</xdr:row>
      <xdr:rowOff>0</xdr:rowOff>
    </xdr:from>
    <xdr:ext cx="2286000" cy="381000"/>
    <mc:AlternateContent xmlns:mc="http://schemas.openxmlformats.org/markup-compatibility/2006" xmlns:a14="http://schemas.microsoft.com/office/drawing/2010/main">
      <mc:Choice Requires="a14">
        <xdr:sp macro="" textlink="">
          <xdr:nvSpPr>
            <xdr:cNvPr id="7246" name="TextBox 7245">
              <a:extLst>
                <a:ext uri="{FF2B5EF4-FFF2-40B4-BE49-F238E27FC236}">
                  <a16:creationId xmlns:a16="http://schemas.microsoft.com/office/drawing/2014/main" id="{00000000-0008-0000-0500-00004E1C0000}"/>
                </a:ext>
              </a:extLst>
            </xdr:cNvPr>
            <xdr:cNvSpPr txBox="1"/>
          </xdr:nvSpPr>
          <xdr:spPr>
            <a:xfrm>
              <a:off x="95250" y="623982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7246" name="TextBox 7245">
              <a:extLst>
                <a:ext uri="{FF2B5EF4-FFF2-40B4-BE49-F238E27FC236}">
                  <a16:creationId xmlns:a16="http://schemas.microsoft.com/office/drawing/2014/main" id="{09CDBB0A-EBB8-4710-8956-8C043DF14A89}"/>
                </a:ext>
              </a:extLst>
            </xdr:cNvPr>
            <xdr:cNvSpPr txBox="1"/>
          </xdr:nvSpPr>
          <xdr:spPr>
            <a:xfrm>
              <a:off x="95250" y="623982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7</xdr:col>
      <xdr:colOff>1138858</xdr:colOff>
      <xdr:row>226</xdr:row>
      <xdr:rowOff>0</xdr:rowOff>
    </xdr:from>
    <xdr:ext cx="1147142" cy="647700"/>
    <mc:AlternateContent xmlns:mc="http://schemas.openxmlformats.org/markup-compatibility/2006" xmlns:a14="http://schemas.microsoft.com/office/drawing/2010/main">
      <mc:Choice Requires="a14">
        <xdr:sp macro="" textlink="">
          <xdr:nvSpPr>
            <xdr:cNvPr id="7247" name="TextBox 7246">
              <a:extLst>
                <a:ext uri="{FF2B5EF4-FFF2-40B4-BE49-F238E27FC236}">
                  <a16:creationId xmlns:a16="http://schemas.microsoft.com/office/drawing/2014/main" id="{00000000-0008-0000-0500-00004F1C0000}"/>
                </a:ext>
              </a:extLst>
            </xdr:cNvPr>
            <xdr:cNvSpPr txBox="1"/>
          </xdr:nvSpPr>
          <xdr:spPr>
            <a:xfrm>
              <a:off x="1234108" y="5884545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7247" name="TextBox 7246">
              <a:extLst>
                <a:ext uri="{FF2B5EF4-FFF2-40B4-BE49-F238E27FC236}">
                  <a16:creationId xmlns:a16="http://schemas.microsoft.com/office/drawing/2014/main" id="{2283D76E-76E2-40DB-87DD-B6DEAECD4532}"/>
                </a:ext>
              </a:extLst>
            </xdr:cNvPr>
            <xdr:cNvSpPr txBox="1"/>
          </xdr:nvSpPr>
          <xdr:spPr>
            <a:xfrm>
              <a:off x="1234108" y="5884545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7</xdr:col>
      <xdr:colOff>0</xdr:colOff>
      <xdr:row>229</xdr:row>
      <xdr:rowOff>0</xdr:rowOff>
    </xdr:from>
    <xdr:ext cx="2286000" cy="361950"/>
    <mc:AlternateContent xmlns:mc="http://schemas.openxmlformats.org/markup-compatibility/2006" xmlns:a14="http://schemas.microsoft.com/office/drawing/2010/main">
      <mc:Choice Requires="a14">
        <xdr:sp macro="" textlink="">
          <xdr:nvSpPr>
            <xdr:cNvPr id="7248" name="TextBox 7247">
              <a:extLst>
                <a:ext uri="{FF2B5EF4-FFF2-40B4-BE49-F238E27FC236}">
                  <a16:creationId xmlns:a16="http://schemas.microsoft.com/office/drawing/2014/main" id="{00000000-0008-0000-0500-0000501C0000}"/>
                </a:ext>
              </a:extLst>
            </xdr:cNvPr>
            <xdr:cNvSpPr txBox="1"/>
          </xdr:nvSpPr>
          <xdr:spPr>
            <a:xfrm>
              <a:off x="95250" y="597693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7248" name="TextBox 7247">
              <a:extLst>
                <a:ext uri="{FF2B5EF4-FFF2-40B4-BE49-F238E27FC236}">
                  <a16:creationId xmlns:a16="http://schemas.microsoft.com/office/drawing/2014/main" id="{23EFE946-D29F-492F-AD5A-718EAD611EDE}"/>
                </a:ext>
              </a:extLst>
            </xdr:cNvPr>
            <xdr:cNvSpPr txBox="1"/>
          </xdr:nvSpPr>
          <xdr:spPr>
            <a:xfrm>
              <a:off x="95250" y="597693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)_(𝑡=∞)=(𝐸𝐽)_(𝑡=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(𝐸𝐴)_(𝑡=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)⋅𝑎^2</a:t>
              </a:r>
              <a:endParaRPr lang="it-IT" sz="1100"/>
            </a:p>
          </xdr:txBody>
        </xdr:sp>
      </mc:Fallback>
    </mc:AlternateContent>
    <xdr:clientData/>
  </xdr:oneCellAnchor>
  <xdr:oneCellAnchor>
    <xdr:from>
      <xdr:col>1</xdr:col>
      <xdr:colOff>0</xdr:colOff>
      <xdr:row>254</xdr:row>
      <xdr:rowOff>0</xdr:rowOff>
    </xdr:from>
    <xdr:ext cx="2286000" cy="361950"/>
    <mc:AlternateContent xmlns:mc="http://schemas.openxmlformats.org/markup-compatibility/2006" xmlns:a14="http://schemas.microsoft.com/office/drawing/2010/main">
      <mc:Choice Requires="a14">
        <xdr:sp macro="" textlink="">
          <xdr:nvSpPr>
            <xdr:cNvPr id="7283" name="TextBox 7282">
              <a:extLst>
                <a:ext uri="{FF2B5EF4-FFF2-40B4-BE49-F238E27FC236}">
                  <a16:creationId xmlns:a16="http://schemas.microsoft.com/office/drawing/2014/main" id="{00000000-0008-0000-0500-0000731C0000}"/>
                </a:ext>
              </a:extLst>
            </xdr:cNvPr>
            <xdr:cNvSpPr txBox="1"/>
          </xdr:nvSpPr>
          <xdr:spPr>
            <a:xfrm>
              <a:off x="95250" y="566070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r>
                              <a:rPr lang="it-IT" sz="1100" b="0" i="1">
                                <a:latin typeface="Cambria Math" panose="02040503050406030204" pitchFamily="18" charset="0"/>
                              </a:rPr>
                              <m:t>𝑖</m:t>
                            </m:r>
                            <m:r>
                              <a:rPr lang="it-IT" sz="1100" b="0" i="1">
                                <a:latin typeface="Cambria Math" panose="02040503050406030204" pitchFamily="18" charset="0"/>
                              </a:rPr>
                              <m:t>,</m:t>
                            </m:r>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283" name="TextBox 7282">
              <a:extLst>
                <a:ext uri="{FF2B5EF4-FFF2-40B4-BE49-F238E27FC236}">
                  <a16:creationId xmlns:a16="http://schemas.microsoft.com/office/drawing/2014/main" id="{CA1F338F-3746-4F6B-B6D9-52C01137F981}"/>
                </a:ext>
              </a:extLst>
            </xdr:cNvPr>
            <xdr:cNvSpPr txBox="1"/>
          </xdr:nvSpPr>
          <xdr:spPr>
            <a:xfrm>
              <a:off x="95250" y="566070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1+𝜓_(2,𝑖,𝑡=∞)⋅𝑘_𝑑𝑒𝑓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7</xdr:col>
      <xdr:colOff>0</xdr:colOff>
      <xdr:row>261</xdr:row>
      <xdr:rowOff>0</xdr:rowOff>
    </xdr:from>
    <xdr:ext cx="2286000" cy="361950"/>
    <mc:AlternateContent xmlns:mc="http://schemas.openxmlformats.org/markup-compatibility/2006" xmlns:a14="http://schemas.microsoft.com/office/drawing/2010/main">
      <mc:Choice Requires="a14">
        <xdr:sp macro="" textlink="">
          <xdr:nvSpPr>
            <xdr:cNvPr id="7314" name="TextBox 7313">
              <a:extLst>
                <a:ext uri="{FF2B5EF4-FFF2-40B4-BE49-F238E27FC236}">
                  <a16:creationId xmlns:a16="http://schemas.microsoft.com/office/drawing/2014/main" id="{00000000-0008-0000-0500-0000921C0000}"/>
                </a:ext>
              </a:extLst>
            </xdr:cNvPr>
            <xdr:cNvSpPr txBox="1"/>
          </xdr:nvSpPr>
          <xdr:spPr>
            <a:xfrm>
              <a:off x="95250" y="692848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314" name="TextBox 7313">
              <a:extLst>
                <a:ext uri="{FF2B5EF4-FFF2-40B4-BE49-F238E27FC236}">
                  <a16:creationId xmlns:a16="http://schemas.microsoft.com/office/drawing/2014/main" id="{42D96736-61B5-4E28-B425-9E03B599A364}"/>
                </a:ext>
              </a:extLst>
            </xdr:cNvPr>
            <xdr:cNvSpPr txBox="1"/>
          </xdr:nvSpPr>
          <xdr:spPr>
            <a:xfrm>
              <a:off x="95250" y="692848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1+𝜓_2⋅𝑘_𝑑𝑒𝑓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7</xdr:col>
      <xdr:colOff>0</xdr:colOff>
      <xdr:row>289</xdr:row>
      <xdr:rowOff>0</xdr:rowOff>
    </xdr:from>
    <xdr:ext cx="2286000" cy="361950"/>
    <mc:AlternateContent xmlns:mc="http://schemas.openxmlformats.org/markup-compatibility/2006" xmlns:a14="http://schemas.microsoft.com/office/drawing/2010/main">
      <mc:Choice Requires="a14">
        <xdr:sp macro="" textlink="">
          <xdr:nvSpPr>
            <xdr:cNvPr id="7315" name="TextBox 7314">
              <a:extLst>
                <a:ext uri="{FF2B5EF4-FFF2-40B4-BE49-F238E27FC236}">
                  <a16:creationId xmlns:a16="http://schemas.microsoft.com/office/drawing/2014/main" id="{00000000-0008-0000-0500-0000931C0000}"/>
                </a:ext>
              </a:extLst>
            </xdr:cNvPr>
            <xdr:cNvSpPr txBox="1"/>
          </xdr:nvSpPr>
          <xdr:spPr>
            <a:xfrm>
              <a:off x="95250" y="752951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𝐾</m:t>
                            </m:r>
                          </m:e>
                          <m:sub>
                            <m:r>
                              <a:rPr lang="it-IT" sz="1100" b="0" i="1">
                                <a:solidFill>
                                  <a:schemeClr val="tx1"/>
                                </a:solidFill>
                                <a:effectLst/>
                                <a:latin typeface="Cambria Math" panose="02040503050406030204" pitchFamily="18" charset="0"/>
                                <a:ea typeface="+mn-ea"/>
                                <a:cs typeface="+mn-cs"/>
                              </a:rPr>
                              <m:t>𝑢</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315" name="TextBox 7314">
              <a:extLst>
                <a:ext uri="{FF2B5EF4-FFF2-40B4-BE49-F238E27FC236}">
                  <a16:creationId xmlns:a16="http://schemas.microsoft.com/office/drawing/2014/main" id="{7F5A8437-95A0-41A9-AE8B-D0D8041CA0EE}"/>
                </a:ext>
              </a:extLst>
            </xdr:cNvPr>
            <xdr:cNvSpPr txBox="1"/>
          </xdr:nvSpPr>
          <xdr:spPr>
            <a:xfrm>
              <a:off x="95250" y="752951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𝐾_(𝑢</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𝐾_𝑢/(</a:t>
              </a:r>
              <a:r>
                <a:rPr lang="it-IT" sz="1100" b="0" i="0">
                  <a:latin typeface="Cambria Math" panose="02040503050406030204" pitchFamily="18" charset="0"/>
                </a:rPr>
                <a:t>1+𝜓_2⋅𝑘_𝑑𝑒𝑓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8</xdr:col>
      <xdr:colOff>0</xdr:colOff>
      <xdr:row>268</xdr:row>
      <xdr:rowOff>0</xdr:rowOff>
    </xdr:from>
    <xdr:ext cx="1147142" cy="323850"/>
    <mc:AlternateContent xmlns:mc="http://schemas.openxmlformats.org/markup-compatibility/2006" xmlns:a14="http://schemas.microsoft.com/office/drawing/2010/main">
      <mc:Choice Requires="a14">
        <xdr:sp macro="" textlink="">
          <xdr:nvSpPr>
            <xdr:cNvPr id="7316" name="TextBox 7315">
              <a:extLst>
                <a:ext uri="{FF2B5EF4-FFF2-40B4-BE49-F238E27FC236}">
                  <a16:creationId xmlns:a16="http://schemas.microsoft.com/office/drawing/2014/main" id="{00000000-0008-0000-0500-0000941C0000}"/>
                </a:ext>
              </a:extLst>
            </xdr:cNvPr>
            <xdr:cNvSpPr txBox="1"/>
          </xdr:nvSpPr>
          <xdr:spPr>
            <a:xfrm>
              <a:off x="1238250" y="7034212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316" name="TextBox 7315">
              <a:extLst>
                <a:ext uri="{FF2B5EF4-FFF2-40B4-BE49-F238E27FC236}">
                  <a16:creationId xmlns:a16="http://schemas.microsoft.com/office/drawing/2014/main" id="{31171B16-EE27-40A2-BC4B-FE73D1999E99}"/>
                </a:ext>
              </a:extLst>
            </xdr:cNvPr>
            <xdr:cNvSpPr txBox="1"/>
          </xdr:nvSpPr>
          <xdr:spPr>
            <a:xfrm>
              <a:off x="1238250" y="7034212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(𝐸𝐽_0 )_(𝑡=∞)=∑𝐸_𝑖 𝐽_𝑖</a:t>
              </a:r>
              <a:endParaRPr lang="it-IT" sz="1100"/>
            </a:p>
          </xdr:txBody>
        </xdr:sp>
      </mc:Fallback>
    </mc:AlternateContent>
    <xdr:clientData/>
  </xdr:oneCellAnchor>
  <xdr:oneCellAnchor>
    <xdr:from>
      <xdr:col>7</xdr:col>
      <xdr:colOff>1138858</xdr:colOff>
      <xdr:row>269</xdr:row>
      <xdr:rowOff>0</xdr:rowOff>
    </xdr:from>
    <xdr:ext cx="1147142" cy="323850"/>
    <mc:AlternateContent xmlns:mc="http://schemas.openxmlformats.org/markup-compatibility/2006" xmlns:a14="http://schemas.microsoft.com/office/drawing/2010/main">
      <mc:Choice Requires="a14">
        <xdr:sp macro="" textlink="">
          <xdr:nvSpPr>
            <xdr:cNvPr id="7317" name="TextBox 7316">
              <a:extLst>
                <a:ext uri="{FF2B5EF4-FFF2-40B4-BE49-F238E27FC236}">
                  <a16:creationId xmlns:a16="http://schemas.microsoft.com/office/drawing/2014/main" id="{00000000-0008-0000-0500-0000951C0000}"/>
                </a:ext>
              </a:extLst>
            </xdr:cNvPr>
            <xdr:cNvSpPr txBox="1"/>
          </xdr:nvSpPr>
          <xdr:spPr>
            <a:xfrm>
              <a:off x="1234108" y="7066597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317" name="TextBox 7316">
              <a:extLst>
                <a:ext uri="{FF2B5EF4-FFF2-40B4-BE49-F238E27FC236}">
                  <a16:creationId xmlns:a16="http://schemas.microsoft.com/office/drawing/2014/main" id="{90D28A5A-A648-4412-A74D-BA96EFEA6DA9}"/>
                </a:ext>
              </a:extLst>
            </xdr:cNvPr>
            <xdr:cNvSpPr txBox="1"/>
          </xdr:nvSpPr>
          <xdr:spPr>
            <a:xfrm>
              <a:off x="1234108" y="70665975"/>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(𝐸𝐴_0 )_(𝑡=∞)=∑𝐸_𝑖 𝐴_𝑖</a:t>
              </a:r>
              <a:endParaRPr lang="it-IT" sz="1100"/>
            </a:p>
          </xdr:txBody>
        </xdr:sp>
      </mc:Fallback>
    </mc:AlternateContent>
    <xdr:clientData/>
  </xdr:oneCellAnchor>
  <xdr:oneCellAnchor>
    <xdr:from>
      <xdr:col>7</xdr:col>
      <xdr:colOff>0</xdr:colOff>
      <xdr:row>275</xdr:row>
      <xdr:rowOff>0</xdr:rowOff>
    </xdr:from>
    <xdr:ext cx="2286000" cy="476250"/>
    <mc:AlternateContent xmlns:mc="http://schemas.openxmlformats.org/markup-compatibility/2006" xmlns:a14="http://schemas.microsoft.com/office/drawing/2010/main">
      <mc:Choice Requires="a14">
        <xdr:sp macro="" textlink="">
          <xdr:nvSpPr>
            <xdr:cNvPr id="7318" name="TextBox 7317">
              <a:extLst>
                <a:ext uri="{FF2B5EF4-FFF2-40B4-BE49-F238E27FC236}">
                  <a16:creationId xmlns:a16="http://schemas.microsoft.com/office/drawing/2014/main" id="{00000000-0008-0000-0500-0000961C0000}"/>
                </a:ext>
              </a:extLst>
            </xdr:cNvPr>
            <xdr:cNvSpPr txBox="1"/>
          </xdr:nvSpPr>
          <xdr:spPr>
            <a:xfrm>
              <a:off x="95250" y="723709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7318" name="TextBox 7317">
              <a:extLst>
                <a:ext uri="{FF2B5EF4-FFF2-40B4-BE49-F238E27FC236}">
                  <a16:creationId xmlns:a16="http://schemas.microsoft.com/office/drawing/2014/main" id="{7948B0A2-1D7D-488D-8EDD-BA2ED37E2659}"/>
                </a:ext>
              </a:extLst>
            </xdr:cNvPr>
            <xdr:cNvSpPr txBox="1"/>
          </xdr:nvSpPr>
          <xdr:spPr>
            <a:xfrm>
              <a:off x="95250" y="723709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7</xdr:col>
      <xdr:colOff>0</xdr:colOff>
      <xdr:row>277</xdr:row>
      <xdr:rowOff>0</xdr:rowOff>
    </xdr:from>
    <xdr:ext cx="2286000" cy="476250"/>
    <mc:AlternateContent xmlns:mc="http://schemas.openxmlformats.org/markup-compatibility/2006" xmlns:a14="http://schemas.microsoft.com/office/drawing/2010/main">
      <mc:Choice Requires="a14">
        <xdr:sp macro="" textlink="">
          <xdr:nvSpPr>
            <xdr:cNvPr id="7319" name="TextBox 7318">
              <a:extLst>
                <a:ext uri="{FF2B5EF4-FFF2-40B4-BE49-F238E27FC236}">
                  <a16:creationId xmlns:a16="http://schemas.microsoft.com/office/drawing/2014/main" id="{00000000-0008-0000-0500-0000971C0000}"/>
                </a:ext>
              </a:extLst>
            </xdr:cNvPr>
            <xdr:cNvSpPr txBox="1"/>
          </xdr:nvSpPr>
          <xdr:spPr>
            <a:xfrm>
              <a:off x="95250" y="729424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7319" name="TextBox 7318">
              <a:extLst>
                <a:ext uri="{FF2B5EF4-FFF2-40B4-BE49-F238E27FC236}">
                  <a16:creationId xmlns:a16="http://schemas.microsoft.com/office/drawing/2014/main" id="{9EFA020E-66B2-48B5-A643-4D9ABC5C4491}"/>
                </a:ext>
              </a:extLst>
            </xdr:cNvPr>
            <xdr:cNvSpPr txBox="1"/>
          </xdr:nvSpPr>
          <xdr:spPr>
            <a:xfrm>
              <a:off x="95250" y="729424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7</xdr:col>
      <xdr:colOff>0</xdr:colOff>
      <xdr:row>281</xdr:row>
      <xdr:rowOff>0</xdr:rowOff>
    </xdr:from>
    <xdr:ext cx="2286000" cy="361950"/>
    <mc:AlternateContent xmlns:mc="http://schemas.openxmlformats.org/markup-compatibility/2006" xmlns:a14="http://schemas.microsoft.com/office/drawing/2010/main">
      <mc:Choice Requires="a14">
        <xdr:sp macro="" textlink="">
          <xdr:nvSpPr>
            <xdr:cNvPr id="7320" name="TextBox 7319">
              <a:extLst>
                <a:ext uri="{FF2B5EF4-FFF2-40B4-BE49-F238E27FC236}">
                  <a16:creationId xmlns:a16="http://schemas.microsoft.com/office/drawing/2014/main" id="{00000000-0008-0000-0500-0000981C0000}"/>
                </a:ext>
              </a:extLst>
            </xdr:cNvPr>
            <xdr:cNvSpPr txBox="1"/>
          </xdr:nvSpPr>
          <xdr:spPr>
            <a:xfrm>
              <a:off x="95250" y="737901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7320" name="TextBox 7319">
              <a:extLst>
                <a:ext uri="{FF2B5EF4-FFF2-40B4-BE49-F238E27FC236}">
                  <a16:creationId xmlns:a16="http://schemas.microsoft.com/office/drawing/2014/main" id="{3DA46850-C395-4AA8-8D04-F6C02EA574EB}"/>
                </a:ext>
              </a:extLst>
            </xdr:cNvPr>
            <xdr:cNvSpPr txBox="1"/>
          </xdr:nvSpPr>
          <xdr:spPr>
            <a:xfrm>
              <a:off x="95250" y="737901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)_(𝑡=∞)=𝐸_1 𝐽_1+𝐸_2 𝐽_2+𝐸_2 𝐴_2 𝑎_2^2+𝛾_1 𝐸_1 𝐴_1 𝑎_1^2</a:t>
              </a:r>
              <a:endParaRPr lang="it-IT" sz="1100"/>
            </a:p>
          </xdr:txBody>
        </xdr:sp>
      </mc:Fallback>
    </mc:AlternateContent>
    <xdr:clientData/>
  </xdr:oneCellAnchor>
  <xdr:oneCellAnchor>
    <xdr:from>
      <xdr:col>7</xdr:col>
      <xdr:colOff>0</xdr:colOff>
      <xdr:row>285</xdr:row>
      <xdr:rowOff>0</xdr:rowOff>
    </xdr:from>
    <xdr:ext cx="2286000" cy="381000"/>
    <mc:AlternateContent xmlns:mc="http://schemas.openxmlformats.org/markup-compatibility/2006" xmlns:a14="http://schemas.microsoft.com/office/drawing/2010/main">
      <mc:Choice Requires="a14">
        <xdr:sp macro="" textlink="">
          <xdr:nvSpPr>
            <xdr:cNvPr id="7321" name="TextBox 7320">
              <a:extLst>
                <a:ext uri="{FF2B5EF4-FFF2-40B4-BE49-F238E27FC236}">
                  <a16:creationId xmlns:a16="http://schemas.microsoft.com/office/drawing/2014/main" id="{00000000-0008-0000-0500-0000991C0000}"/>
                </a:ext>
              </a:extLst>
            </xdr:cNvPr>
            <xdr:cNvSpPr txBox="1"/>
          </xdr:nvSpPr>
          <xdr:spPr>
            <a:xfrm>
              <a:off x="95250" y="746283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7321" name="TextBox 7320">
              <a:extLst>
                <a:ext uri="{FF2B5EF4-FFF2-40B4-BE49-F238E27FC236}">
                  <a16:creationId xmlns:a16="http://schemas.microsoft.com/office/drawing/2014/main" id="{95492EFB-C6C3-41E1-8391-EF8461C8F52E}"/>
                </a:ext>
              </a:extLst>
            </xdr:cNvPr>
            <xdr:cNvSpPr txBox="1"/>
          </xdr:nvSpPr>
          <xdr:spPr>
            <a:xfrm>
              <a:off x="95250" y="746283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7</xdr:col>
      <xdr:colOff>1138858</xdr:colOff>
      <xdr:row>271</xdr:row>
      <xdr:rowOff>0</xdr:rowOff>
    </xdr:from>
    <xdr:ext cx="1147142" cy="647700"/>
    <mc:AlternateContent xmlns:mc="http://schemas.openxmlformats.org/markup-compatibility/2006" xmlns:a14="http://schemas.microsoft.com/office/drawing/2010/main">
      <mc:Choice Requires="a14">
        <xdr:sp macro="" textlink="">
          <xdr:nvSpPr>
            <xdr:cNvPr id="7322" name="TextBox 7321">
              <a:extLst>
                <a:ext uri="{FF2B5EF4-FFF2-40B4-BE49-F238E27FC236}">
                  <a16:creationId xmlns:a16="http://schemas.microsoft.com/office/drawing/2014/main" id="{00000000-0008-0000-0500-00009A1C0000}"/>
                </a:ext>
              </a:extLst>
            </xdr:cNvPr>
            <xdr:cNvSpPr txBox="1"/>
          </xdr:nvSpPr>
          <xdr:spPr>
            <a:xfrm>
              <a:off x="1234108" y="7108507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7322" name="TextBox 7321">
              <a:extLst>
                <a:ext uri="{FF2B5EF4-FFF2-40B4-BE49-F238E27FC236}">
                  <a16:creationId xmlns:a16="http://schemas.microsoft.com/office/drawing/2014/main" id="{F41DE2E5-EB08-498B-85F7-0892F9825114}"/>
                </a:ext>
              </a:extLst>
            </xdr:cNvPr>
            <xdr:cNvSpPr txBox="1"/>
          </xdr:nvSpPr>
          <xdr:spPr>
            <a:xfrm>
              <a:off x="1234108" y="7108507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7</xdr:col>
      <xdr:colOff>0</xdr:colOff>
      <xdr:row>274</xdr:row>
      <xdr:rowOff>0</xdr:rowOff>
    </xdr:from>
    <xdr:ext cx="2286000" cy="361950"/>
    <mc:AlternateContent xmlns:mc="http://schemas.openxmlformats.org/markup-compatibility/2006" xmlns:a14="http://schemas.microsoft.com/office/drawing/2010/main">
      <mc:Choice Requires="a14">
        <xdr:sp macro="" textlink="">
          <xdr:nvSpPr>
            <xdr:cNvPr id="7323" name="TextBox 7322">
              <a:extLst>
                <a:ext uri="{FF2B5EF4-FFF2-40B4-BE49-F238E27FC236}">
                  <a16:creationId xmlns:a16="http://schemas.microsoft.com/office/drawing/2014/main" id="{00000000-0008-0000-0500-00009B1C0000}"/>
                </a:ext>
              </a:extLst>
            </xdr:cNvPr>
            <xdr:cNvSpPr txBox="1"/>
          </xdr:nvSpPr>
          <xdr:spPr>
            <a:xfrm>
              <a:off x="95250" y="720090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7323" name="TextBox 7322">
              <a:extLst>
                <a:ext uri="{FF2B5EF4-FFF2-40B4-BE49-F238E27FC236}">
                  <a16:creationId xmlns:a16="http://schemas.microsoft.com/office/drawing/2014/main" id="{6786D712-20D9-46FD-A966-D36A488F16A4}"/>
                </a:ext>
              </a:extLst>
            </xdr:cNvPr>
            <xdr:cNvSpPr txBox="1"/>
          </xdr:nvSpPr>
          <xdr:spPr>
            <a:xfrm>
              <a:off x="95250" y="720090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=(𝐸𝐽)_(𝑡=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(𝐸𝐴)_(𝑡=</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)⋅𝑎^2</a:t>
              </a:r>
              <a:endParaRPr lang="it-IT" sz="1100"/>
            </a:p>
          </xdr:txBody>
        </xdr:sp>
      </mc:Fallback>
    </mc:AlternateContent>
    <xdr:clientData/>
  </xdr:oneCellAnchor>
  <xdr:oneCellAnchor>
    <xdr:from>
      <xdr:col>7</xdr:col>
      <xdr:colOff>0</xdr:colOff>
      <xdr:row>254</xdr:row>
      <xdr:rowOff>0</xdr:rowOff>
    </xdr:from>
    <xdr:ext cx="2286000" cy="361950"/>
    <mc:AlternateContent xmlns:mc="http://schemas.openxmlformats.org/markup-compatibility/2006" xmlns:a14="http://schemas.microsoft.com/office/drawing/2010/main">
      <mc:Choice Requires="a14">
        <xdr:sp macro="" textlink="">
          <xdr:nvSpPr>
            <xdr:cNvPr id="7324" name="TextBox 7323">
              <a:extLst>
                <a:ext uri="{FF2B5EF4-FFF2-40B4-BE49-F238E27FC236}">
                  <a16:creationId xmlns:a16="http://schemas.microsoft.com/office/drawing/2014/main" id="{00000000-0008-0000-0500-00009C1C0000}"/>
                </a:ext>
              </a:extLst>
            </xdr:cNvPr>
            <xdr:cNvSpPr txBox="1"/>
          </xdr:nvSpPr>
          <xdr:spPr>
            <a:xfrm>
              <a:off x="95250" y="681132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r>
                              <a:rPr lang="it-IT" sz="1100" b="0" i="1">
                                <a:latin typeface="Cambria Math" panose="02040503050406030204" pitchFamily="18" charset="0"/>
                              </a:rPr>
                              <m:t>𝑖</m:t>
                            </m:r>
                            <m:r>
                              <a:rPr lang="it-IT" sz="1100" b="0" i="1">
                                <a:latin typeface="Cambria Math" panose="02040503050406030204" pitchFamily="18" charset="0"/>
                              </a:rPr>
                              <m:t>,</m:t>
                            </m:r>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324" name="TextBox 7323">
              <a:extLst>
                <a:ext uri="{FF2B5EF4-FFF2-40B4-BE49-F238E27FC236}">
                  <a16:creationId xmlns:a16="http://schemas.microsoft.com/office/drawing/2014/main" id="{6115C9BD-690A-487A-818A-1921E6E80DA8}"/>
                </a:ext>
              </a:extLst>
            </xdr:cNvPr>
            <xdr:cNvSpPr txBox="1"/>
          </xdr:nvSpPr>
          <xdr:spPr>
            <a:xfrm>
              <a:off x="95250" y="681132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1+𝜓_(2,𝑖,𝑡=∞)⋅𝑘_𝑑𝑒𝑓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1</xdr:col>
      <xdr:colOff>0</xdr:colOff>
      <xdr:row>311</xdr:row>
      <xdr:rowOff>0</xdr:rowOff>
    </xdr:from>
    <xdr:ext cx="2286000" cy="381000"/>
    <mc:AlternateContent xmlns:mc="http://schemas.openxmlformats.org/markup-compatibility/2006" xmlns:a14="http://schemas.microsoft.com/office/drawing/2010/main">
      <mc:Choice Requires="a14">
        <xdr:sp macro="" textlink="">
          <xdr:nvSpPr>
            <xdr:cNvPr id="5750" name="TextBox 5749">
              <a:extLst>
                <a:ext uri="{FF2B5EF4-FFF2-40B4-BE49-F238E27FC236}">
                  <a16:creationId xmlns:a16="http://schemas.microsoft.com/office/drawing/2014/main" id="{00000000-0008-0000-0500-000076160000}"/>
                </a:ext>
              </a:extLst>
            </xdr:cNvPr>
            <xdr:cNvSpPr txBox="1"/>
          </xdr:nvSpPr>
          <xdr:spPr>
            <a:xfrm>
              <a:off x="95250" y="81591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𝜏</m:t>
                        </m:r>
                      </m:e>
                      <m:sub>
                        <m:r>
                          <a:rPr lang="it-IT" sz="1100" b="0" i="1">
                            <a:latin typeface="Cambria Math" panose="02040503050406030204" pitchFamily="18" charset="0"/>
                          </a:rPr>
                          <m:t>𝑣</m:t>
                        </m:r>
                        <m:r>
                          <a:rPr lang="it-IT" sz="1100" b="0" i="1">
                            <a:latin typeface="Cambria Math" panose="02040503050406030204" pitchFamily="18" charset="0"/>
                          </a:rPr>
                          <m:t>,</m:t>
                        </m:r>
                        <m:r>
                          <a:rPr lang="it-IT" sz="1100" b="0" i="1">
                            <a:latin typeface="Cambria Math" panose="02040503050406030204" pitchFamily="18" charset="0"/>
                          </a:rPr>
                          <m:t>𝑥𝑧</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𝑆</m:t>
                            </m:r>
                          </m:e>
                          <m:sub>
                            <m:r>
                              <a:rPr lang="it-IT" sz="1100" b="0" i="1">
                                <a:latin typeface="Cambria Math" panose="02040503050406030204" pitchFamily="18" charset="0"/>
                              </a:rPr>
                              <m:t>𝑥</m:t>
                            </m:r>
                            <m:r>
                              <a:rPr lang="it-IT" sz="1100" b="0" i="1">
                                <a:latin typeface="Cambria Math" panose="02040503050406030204" pitchFamily="18" charset="0"/>
                              </a:rPr>
                              <m:t>,</m:t>
                            </m:r>
                            <m:r>
                              <a:rPr lang="it-IT" sz="1100" b="0" i="1">
                                <a:latin typeface="Cambria Math" panose="02040503050406030204" pitchFamily="18" charset="0"/>
                              </a:rPr>
                              <m:t>𝑛𝑒𝑡</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𝑉</m:t>
                            </m:r>
                          </m:e>
                          <m:sub>
                            <m:r>
                              <a:rPr lang="it-IT" sz="1100" b="0" i="1">
                                <a:latin typeface="Cambria Math" panose="02040503050406030204" pitchFamily="18" charset="0"/>
                              </a:rPr>
                              <m:t>𝑥𝑧</m:t>
                            </m:r>
                            <m:r>
                              <a:rPr lang="it-IT" sz="1100" b="0" i="1">
                                <a:latin typeface="Cambria Math" panose="02040503050406030204" pitchFamily="18" charset="0"/>
                              </a:rPr>
                              <m:t>,</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𝑥</m:t>
                            </m:r>
                            <m:r>
                              <a:rPr lang="it-IT" sz="1100" b="0" i="1">
                                <a:latin typeface="Cambria Math" panose="02040503050406030204" pitchFamily="18" charset="0"/>
                              </a:rPr>
                              <m:t>,</m:t>
                            </m:r>
                            <m:r>
                              <a:rPr lang="it-IT" sz="1100" b="0" i="1">
                                <a:latin typeface="Cambria Math" panose="02040503050406030204" pitchFamily="18" charset="0"/>
                              </a:rPr>
                              <m:t>𝑛𝑒𝑡</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𝑏</m:t>
                            </m:r>
                          </m:e>
                          <m:sub>
                            <m:r>
                              <a:rPr lang="it-IT" sz="1100" b="0" i="1">
                                <a:latin typeface="Cambria Math" panose="02040503050406030204" pitchFamily="18" charset="0"/>
                              </a:rPr>
                              <m:t>𝑥</m:t>
                            </m:r>
                          </m:sub>
                        </m:sSub>
                      </m:den>
                    </m:f>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𝑣</m:t>
                        </m:r>
                        <m:r>
                          <a:rPr lang="it-IT" sz="1100" b="0" i="1">
                            <a:latin typeface="Cambria Math" panose="02040503050406030204" pitchFamily="18" charset="0"/>
                          </a:rPr>
                          <m:t>,90,</m:t>
                        </m:r>
                        <m:r>
                          <a:rPr lang="it-IT" sz="1100" b="0" i="1">
                            <a:latin typeface="Cambria Math" panose="02040503050406030204" pitchFamily="18" charset="0"/>
                          </a:rPr>
                          <m:t>𝑦𝑙𝑎𝑦</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5750" name="TextBox 5749">
              <a:extLst>
                <a:ext uri="{FF2B5EF4-FFF2-40B4-BE49-F238E27FC236}">
                  <a16:creationId xmlns:a16="http://schemas.microsoft.com/office/drawing/2014/main" id="{00000000-0008-0000-0500-000076160000}"/>
                </a:ext>
              </a:extLst>
            </xdr:cNvPr>
            <xdr:cNvSpPr txBox="1"/>
          </xdr:nvSpPr>
          <xdr:spPr>
            <a:xfrm>
              <a:off x="95250" y="81591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𝜏_(𝑣,𝑥𝑧,𝑑)=(𝑆_(𝑥,𝑛𝑒𝑡)⋅𝑉_(𝑥𝑧,𝑑))/(𝐽_(𝑥,𝑛𝑒𝑡)⋅𝑏_𝑥 )≤𝑓_(𝑣,90,𝑦𝑙𝑎𝑦,𝑑)</a:t>
              </a:r>
              <a:endParaRPr lang="it-IT" sz="1100"/>
            </a:p>
          </xdr:txBody>
        </xdr:sp>
      </mc:Fallback>
    </mc:AlternateContent>
    <xdr:clientData/>
  </xdr:oneCellAnchor>
  <xdr:oneCellAnchor>
    <xdr:from>
      <xdr:col>1</xdr:col>
      <xdr:colOff>0</xdr:colOff>
      <xdr:row>314</xdr:row>
      <xdr:rowOff>0</xdr:rowOff>
    </xdr:from>
    <xdr:ext cx="2286000" cy="381000"/>
    <mc:AlternateContent xmlns:mc="http://schemas.openxmlformats.org/markup-compatibility/2006" xmlns:a14="http://schemas.microsoft.com/office/drawing/2010/main">
      <mc:Choice Requires="a14">
        <xdr:sp macro="" textlink="">
          <xdr:nvSpPr>
            <xdr:cNvPr id="5751" name="TextBox 5750">
              <a:extLst>
                <a:ext uri="{FF2B5EF4-FFF2-40B4-BE49-F238E27FC236}">
                  <a16:creationId xmlns:a16="http://schemas.microsoft.com/office/drawing/2014/main" id="{00000000-0008-0000-0500-000077160000}"/>
                </a:ext>
              </a:extLst>
            </xdr:cNvPr>
            <xdr:cNvSpPr txBox="1"/>
          </xdr:nvSpPr>
          <xdr:spPr>
            <a:xfrm>
              <a:off x="95250" y="822483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𝜏</m:t>
                        </m:r>
                      </m:e>
                      <m:sub>
                        <m:r>
                          <a:rPr lang="it-IT" sz="1100" b="0" i="1">
                            <a:solidFill>
                              <a:schemeClr val="tx1"/>
                            </a:solidFill>
                            <a:effectLst/>
                            <a:latin typeface="Cambria Math" panose="02040503050406030204" pitchFamily="18" charset="0"/>
                            <a:ea typeface="+mn-ea"/>
                            <a:cs typeface="+mn-cs"/>
                          </a:rPr>
                          <m:t>𝑅𝑣</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𝑦𝑧</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𝑆</m:t>
                            </m:r>
                          </m:e>
                          <m:sub>
                            <m:r>
                              <a:rPr lang="it-IT" sz="1100" b="0" i="1">
                                <a:solidFill>
                                  <a:schemeClr val="tx1"/>
                                </a:solidFill>
                                <a:effectLst/>
                                <a:latin typeface="Cambria Math" panose="02040503050406030204" pitchFamily="18" charset="0"/>
                                <a:ea typeface="+mn-ea"/>
                                <a:cs typeface="+mn-cs"/>
                              </a:rPr>
                              <m:t>𝑅</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𝑛𝑒𝑡</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𝑦𝑧</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𝐽</m:t>
                            </m:r>
                          </m:e>
                          <m:sub>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𝑛𝑒𝑡</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𝑏</m:t>
                            </m:r>
                          </m:e>
                          <m:sub>
                            <m:r>
                              <a:rPr lang="it-IT" sz="1100" b="0" i="1">
                                <a:solidFill>
                                  <a:schemeClr val="tx1"/>
                                </a:solidFill>
                                <a:effectLst/>
                                <a:latin typeface="Cambria Math" panose="02040503050406030204" pitchFamily="18" charset="0"/>
                                <a:ea typeface="+mn-ea"/>
                                <a:cs typeface="+mn-cs"/>
                              </a:rPr>
                              <m:t>𝑦</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𝑣</m:t>
                        </m:r>
                        <m:r>
                          <a:rPr lang="it-IT" sz="1100" b="0" i="1">
                            <a:solidFill>
                              <a:schemeClr val="tx1"/>
                            </a:solidFill>
                            <a:effectLst/>
                            <a:latin typeface="Cambria Math" panose="02040503050406030204" pitchFamily="18" charset="0"/>
                            <a:ea typeface="+mn-ea"/>
                            <a:cs typeface="+mn-cs"/>
                          </a:rPr>
                          <m:t>,90,</m:t>
                        </m:r>
                        <m:r>
                          <a:rPr lang="it-IT" sz="1100" b="0" i="1">
                            <a:solidFill>
                              <a:schemeClr val="tx1"/>
                            </a:solidFill>
                            <a:effectLst/>
                            <a:latin typeface="Cambria Math" panose="02040503050406030204" pitchFamily="18" charset="0"/>
                            <a:ea typeface="+mn-ea"/>
                            <a:cs typeface="+mn-cs"/>
                          </a:rPr>
                          <m:t>𝑦𝑙𝑎𝑦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5751" name="TextBox 5750">
              <a:extLst>
                <a:ext uri="{FF2B5EF4-FFF2-40B4-BE49-F238E27FC236}">
                  <a16:creationId xmlns:a16="http://schemas.microsoft.com/office/drawing/2014/main" id="{00000000-0008-0000-0500-000077160000}"/>
                </a:ext>
              </a:extLst>
            </xdr:cNvPr>
            <xdr:cNvSpPr txBox="1"/>
          </xdr:nvSpPr>
          <xdr:spPr>
            <a:xfrm>
              <a:off x="95250" y="822483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𝜏_(𝑅𝑣,𝑦𝑧,𝑑)=(𝑆_(𝑅,𝑦,𝑛𝑒𝑡)⋅𝑉_(𝑦𝑧,𝑑))/(𝐽_(𝑦,𝑛𝑒𝑡)⋅𝑏_𝑦 )≤𝑓_(𝑣,90,𝑦𝑙𝑎𝑦,𝑑)</a:t>
              </a:r>
              <a:endParaRPr lang="it-IT">
                <a:effectLst/>
              </a:endParaRPr>
            </a:p>
          </xdr:txBody>
        </xdr:sp>
      </mc:Fallback>
    </mc:AlternateContent>
    <xdr:clientData/>
  </xdr:oneCellAnchor>
  <xdr:oneCellAnchor>
    <xdr:from>
      <xdr:col>7</xdr:col>
      <xdr:colOff>0</xdr:colOff>
      <xdr:row>299</xdr:row>
      <xdr:rowOff>0</xdr:rowOff>
    </xdr:from>
    <xdr:ext cx="2286000" cy="381000"/>
    <mc:AlternateContent xmlns:mc="http://schemas.openxmlformats.org/markup-compatibility/2006" xmlns:a14="http://schemas.microsoft.com/office/drawing/2010/main">
      <mc:Choice Requires="a14">
        <xdr:sp macro="" textlink="">
          <xdr:nvSpPr>
            <xdr:cNvPr id="9661" name="TextBox 9660">
              <a:extLst>
                <a:ext uri="{FF2B5EF4-FFF2-40B4-BE49-F238E27FC236}">
                  <a16:creationId xmlns:a16="http://schemas.microsoft.com/office/drawing/2014/main" id="{00000000-0008-0000-0500-0000BD250000}"/>
                </a:ext>
              </a:extLst>
            </xdr:cNvPr>
            <xdr:cNvSpPr txBox="1"/>
          </xdr:nvSpPr>
          <xdr:spPr>
            <a:xfrm>
              <a:off x="3810000" y="794194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9661" name="TextBox 9660">
              <a:extLst>
                <a:ext uri="{FF2B5EF4-FFF2-40B4-BE49-F238E27FC236}">
                  <a16:creationId xmlns:a16="http://schemas.microsoft.com/office/drawing/2014/main" id="{283ABD1B-915A-D9BC-AFA2-E4F3BE3F245C}"/>
                </a:ext>
              </a:extLst>
            </xdr:cNvPr>
            <xdr:cNvSpPr txBox="1"/>
          </xdr:nvSpPr>
          <xdr:spPr>
            <a:xfrm>
              <a:off x="3810000" y="794194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𝑁_(2,𝑑)=(𝛾_2 𝐸_2 𝐴_2 𝑎_2)/(𝐸𝐽)_𝑒𝑓𝑓   𝑀_(𝑠,𝑑)</a:t>
              </a:r>
              <a:endParaRPr lang="it-IT" sz="1100"/>
            </a:p>
          </xdr:txBody>
        </xdr:sp>
      </mc:Fallback>
    </mc:AlternateContent>
    <xdr:clientData/>
  </xdr:oneCellAnchor>
  <xdr:oneCellAnchor>
    <xdr:from>
      <xdr:col>7</xdr:col>
      <xdr:colOff>0</xdr:colOff>
      <xdr:row>302</xdr:row>
      <xdr:rowOff>1</xdr:rowOff>
    </xdr:from>
    <xdr:ext cx="2286000" cy="381000"/>
    <mc:AlternateContent xmlns:mc="http://schemas.openxmlformats.org/markup-compatibility/2006" xmlns:a14="http://schemas.microsoft.com/office/drawing/2010/main">
      <mc:Choice Requires="a14">
        <xdr:sp macro="" textlink="">
          <xdr:nvSpPr>
            <xdr:cNvPr id="9663" name="TextBox 9662">
              <a:extLst>
                <a:ext uri="{FF2B5EF4-FFF2-40B4-BE49-F238E27FC236}">
                  <a16:creationId xmlns:a16="http://schemas.microsoft.com/office/drawing/2014/main" id="{00000000-0008-0000-0500-0000BF250000}"/>
                </a:ext>
              </a:extLst>
            </xdr:cNvPr>
            <xdr:cNvSpPr txBox="1"/>
          </xdr:nvSpPr>
          <xdr:spPr>
            <a:xfrm>
              <a:off x="3810000" y="800766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9663" name="TextBox 9662">
              <a:extLst>
                <a:ext uri="{FF2B5EF4-FFF2-40B4-BE49-F238E27FC236}">
                  <a16:creationId xmlns:a16="http://schemas.microsoft.com/office/drawing/2014/main" id="{61CD2414-3E72-5C69-20CB-8DDED29394BB}"/>
                </a:ext>
              </a:extLst>
            </xdr:cNvPr>
            <xdr:cNvSpPr txBox="1"/>
          </xdr:nvSpPr>
          <xdr:spPr>
            <a:xfrm>
              <a:off x="3810000" y="800766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𝑀_(2,𝑑)=(𝐸_2 𝐽_2)/(𝐸𝐽)_𝑒𝑓𝑓   𝑀_(𝑠,𝑑)</a:t>
              </a:r>
              <a:endParaRPr lang="it-IT" sz="1100"/>
            </a:p>
          </xdr:txBody>
        </xdr:sp>
      </mc:Fallback>
    </mc:AlternateContent>
    <xdr:clientData/>
  </xdr:oneCellAnchor>
  <xdr:oneCellAnchor>
    <xdr:from>
      <xdr:col>8</xdr:col>
      <xdr:colOff>0</xdr:colOff>
      <xdr:row>304</xdr:row>
      <xdr:rowOff>0</xdr:rowOff>
    </xdr:from>
    <xdr:ext cx="1143000" cy="381000"/>
    <mc:AlternateContent xmlns:mc="http://schemas.openxmlformats.org/markup-compatibility/2006" xmlns:a14="http://schemas.microsoft.com/office/drawing/2010/main">
      <mc:Choice Requires="a14">
        <xdr:sp macro="" textlink="">
          <xdr:nvSpPr>
            <xdr:cNvPr id="9664" name="TextBox 9663">
              <a:extLst>
                <a:ext uri="{FF2B5EF4-FFF2-40B4-BE49-F238E27FC236}">
                  <a16:creationId xmlns:a16="http://schemas.microsoft.com/office/drawing/2014/main" id="{00000000-0008-0000-0500-0000C0250000}"/>
                </a:ext>
              </a:extLst>
            </xdr:cNvPr>
            <xdr:cNvSpPr txBox="1"/>
          </xdr:nvSpPr>
          <xdr:spPr>
            <a:xfrm>
              <a:off x="1238250" y="805529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2,</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den>
                    </m:f>
                  </m:oMath>
                </m:oMathPara>
              </a14:m>
              <a:endParaRPr lang="it-IT" sz="1100"/>
            </a:p>
          </xdr:txBody>
        </xdr:sp>
      </mc:Choice>
      <mc:Fallback xmlns="">
        <xdr:sp macro="" textlink="">
          <xdr:nvSpPr>
            <xdr:cNvPr id="9664" name="TextBox 9663">
              <a:extLst>
                <a:ext uri="{FF2B5EF4-FFF2-40B4-BE49-F238E27FC236}">
                  <a16:creationId xmlns:a16="http://schemas.microsoft.com/office/drawing/2014/main" id="{C37F5AE3-9A86-40EA-B1CA-A9BA314F8A9B}"/>
                </a:ext>
              </a:extLst>
            </xdr:cNvPr>
            <xdr:cNvSpPr txBox="1"/>
          </xdr:nvSpPr>
          <xdr:spPr>
            <a:xfrm>
              <a:off x="1238250" y="805529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𝜎_2=𝑁_(2,𝑑)/𝐴_2 </a:t>
              </a:r>
              <a:endParaRPr lang="it-IT" sz="1100"/>
            </a:p>
          </xdr:txBody>
        </xdr:sp>
      </mc:Fallback>
    </mc:AlternateContent>
    <xdr:clientData/>
  </xdr:oneCellAnchor>
  <xdr:oneCellAnchor>
    <xdr:from>
      <xdr:col>8</xdr:col>
      <xdr:colOff>0</xdr:colOff>
      <xdr:row>305</xdr:row>
      <xdr:rowOff>0</xdr:rowOff>
    </xdr:from>
    <xdr:ext cx="1143000" cy="381000"/>
    <mc:AlternateContent xmlns:mc="http://schemas.openxmlformats.org/markup-compatibility/2006" xmlns:a14="http://schemas.microsoft.com/office/drawing/2010/main">
      <mc:Choice Requires="a14">
        <xdr:sp macro="" textlink="">
          <xdr:nvSpPr>
            <xdr:cNvPr id="9665" name="TextBox 9664">
              <a:extLst>
                <a:ext uri="{FF2B5EF4-FFF2-40B4-BE49-F238E27FC236}">
                  <a16:creationId xmlns:a16="http://schemas.microsoft.com/office/drawing/2014/main" id="{00000000-0008-0000-0500-0000C1250000}"/>
                </a:ext>
              </a:extLst>
            </xdr:cNvPr>
            <xdr:cNvSpPr txBox="1"/>
          </xdr:nvSpPr>
          <xdr:spPr>
            <a:xfrm>
              <a:off x="1238250" y="809339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r>
                          <a:rPr lang="it-IT" sz="1100" b="0" i="1">
                            <a:latin typeface="Cambria Math" panose="02040503050406030204" pitchFamily="18" charset="0"/>
                          </a:rPr>
                          <m:t>𝑚𝑜𝑚</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den>
                    </m:f>
                  </m:oMath>
                </m:oMathPara>
              </a14:m>
              <a:endParaRPr lang="it-IT" sz="1100"/>
            </a:p>
          </xdr:txBody>
        </xdr:sp>
      </mc:Choice>
      <mc:Fallback xmlns="">
        <xdr:sp macro="" textlink="">
          <xdr:nvSpPr>
            <xdr:cNvPr id="9665" name="TextBox 9664">
              <a:extLst>
                <a:ext uri="{FF2B5EF4-FFF2-40B4-BE49-F238E27FC236}">
                  <a16:creationId xmlns:a16="http://schemas.microsoft.com/office/drawing/2014/main" id="{23CC5AC7-F1B1-40D2-B314-B1FA4F44D5D4}"/>
                </a:ext>
              </a:extLst>
            </xdr:cNvPr>
            <xdr:cNvSpPr txBox="1"/>
          </xdr:nvSpPr>
          <xdr:spPr>
            <a:xfrm>
              <a:off x="1238250" y="809339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𝜎_(2,𝑚𝑜𝑚)=(𝑀_(2,𝑑)⋅ℎ_2)/𝐽_2 </a:t>
              </a:r>
              <a:endParaRPr lang="it-IT" sz="1100"/>
            </a:p>
          </xdr:txBody>
        </xdr:sp>
      </mc:Fallback>
    </mc:AlternateContent>
    <xdr:clientData/>
  </xdr:oneCellAnchor>
  <xdr:oneCellAnchor>
    <xdr:from>
      <xdr:col>7</xdr:col>
      <xdr:colOff>0</xdr:colOff>
      <xdr:row>308</xdr:row>
      <xdr:rowOff>0</xdr:rowOff>
    </xdr:from>
    <xdr:ext cx="2286000" cy="381000"/>
    <mc:AlternateContent xmlns:mc="http://schemas.openxmlformats.org/markup-compatibility/2006" xmlns:a14="http://schemas.microsoft.com/office/drawing/2010/main">
      <mc:Choice Requires="a14">
        <xdr:sp macro="" textlink="">
          <xdr:nvSpPr>
            <xdr:cNvPr id="9666" name="TextBox 9665">
              <a:extLst>
                <a:ext uri="{FF2B5EF4-FFF2-40B4-BE49-F238E27FC236}">
                  <a16:creationId xmlns:a16="http://schemas.microsoft.com/office/drawing/2014/main" id="{00000000-0008-0000-0500-0000C2250000}"/>
                </a:ext>
              </a:extLst>
            </xdr:cNvPr>
            <xdr:cNvSpPr txBox="1"/>
          </xdr:nvSpPr>
          <xdr:spPr>
            <a:xfrm>
              <a:off x="95250" y="81591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𝑡</m:t>
                            </m:r>
                            <m:r>
                              <a:rPr lang="it-IT" sz="1100" b="0" i="1">
                                <a:latin typeface="Cambria Math" panose="02040503050406030204" pitchFamily="18" charset="0"/>
                              </a:rPr>
                              <m:t>,0,</m:t>
                            </m:r>
                            <m:r>
                              <a:rPr lang="it-IT" sz="1100" b="0" i="1">
                                <a:latin typeface="Cambria Math" panose="02040503050406030204" pitchFamily="18" charset="0"/>
                              </a:rPr>
                              <m:t>𝑑</m:t>
                            </m:r>
                          </m:sub>
                        </m:sSub>
                      </m:den>
                    </m:f>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𝜎</m:t>
                            </m:r>
                          </m:e>
                          <m:sub>
                            <m:r>
                              <a:rPr lang="it-IT" sz="1100" b="0" i="1">
                                <a:solidFill>
                                  <a:schemeClr val="tx1"/>
                                </a:solidFill>
                                <a:effectLst/>
                                <a:latin typeface="Cambria Math" panose="02040503050406030204" pitchFamily="18" charset="0"/>
                                <a:ea typeface="+mn-ea"/>
                                <a:cs typeface="+mn-cs"/>
                              </a:rPr>
                              <m:t>2,</m:t>
                            </m:r>
                            <m:r>
                              <a:rPr lang="it-IT" sz="1100" b="0" i="1">
                                <a:solidFill>
                                  <a:schemeClr val="tx1"/>
                                </a:solidFill>
                                <a:effectLst/>
                                <a:latin typeface="Cambria Math" panose="02040503050406030204" pitchFamily="18" charset="0"/>
                                <a:ea typeface="+mn-ea"/>
                                <a:cs typeface="+mn-cs"/>
                              </a:rPr>
                              <m:t>𝑚𝑜𝑚</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𝑚</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den>
                    </m:f>
                    <m:r>
                      <a:rPr lang="it-IT" sz="1100" b="0" i="1">
                        <a:solidFill>
                          <a:schemeClr val="tx1"/>
                        </a:solidFill>
                        <a:effectLst/>
                        <a:latin typeface="Cambria Math" panose="02040503050406030204" pitchFamily="18" charset="0"/>
                        <a:ea typeface="+mn-ea"/>
                        <a:cs typeface="+mn-cs"/>
                      </a:rPr>
                      <m:t>≤1</m:t>
                    </m:r>
                  </m:oMath>
                </m:oMathPara>
              </a14:m>
              <a:endParaRPr lang="it-IT" sz="1100"/>
            </a:p>
          </xdr:txBody>
        </xdr:sp>
      </mc:Choice>
      <mc:Fallback xmlns="">
        <xdr:sp macro="" textlink="">
          <xdr:nvSpPr>
            <xdr:cNvPr id="9666" name="TextBox 9665">
              <a:extLst>
                <a:ext uri="{FF2B5EF4-FFF2-40B4-BE49-F238E27FC236}">
                  <a16:creationId xmlns:a16="http://schemas.microsoft.com/office/drawing/2014/main" id="{2A7F4088-C5FC-4F8A-BEED-38EAC070D2C3}"/>
                </a:ext>
              </a:extLst>
            </xdr:cNvPr>
            <xdr:cNvSpPr txBox="1"/>
          </xdr:nvSpPr>
          <xdr:spPr>
            <a:xfrm>
              <a:off x="95250" y="81591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𝜎_2/𝑓_(𝑡,0,𝑑) +</a:t>
              </a:r>
              <a:r>
                <a:rPr lang="it-IT" sz="1100" b="0" i="0">
                  <a:solidFill>
                    <a:schemeClr val="tx1"/>
                  </a:solidFill>
                  <a:effectLst/>
                  <a:latin typeface="Cambria Math" panose="02040503050406030204" pitchFamily="18" charset="0"/>
                  <a:ea typeface="+mn-ea"/>
                  <a:cs typeface="+mn-cs"/>
                </a:rPr>
                <a:t>𝜎_(2,𝑚𝑜𝑚)/𝑓_(𝑚,𝑦,𝑑) ≤1</a:t>
              </a:r>
              <a:endParaRPr lang="it-IT" sz="1100"/>
            </a:p>
          </xdr:txBody>
        </xdr:sp>
      </mc:Fallback>
    </mc:AlternateContent>
    <xdr:clientData/>
  </xdr:oneCellAnchor>
  <xdr:oneCellAnchor>
    <xdr:from>
      <xdr:col>7</xdr:col>
      <xdr:colOff>0</xdr:colOff>
      <xdr:row>310</xdr:row>
      <xdr:rowOff>190499</xdr:rowOff>
    </xdr:from>
    <xdr:ext cx="2286000" cy="1143001"/>
    <mc:AlternateContent xmlns:mc="http://schemas.openxmlformats.org/markup-compatibility/2006" xmlns:a14="http://schemas.microsoft.com/office/drawing/2010/main">
      <mc:Choice Requires="a14">
        <xdr:sp macro="" textlink="">
          <xdr:nvSpPr>
            <xdr:cNvPr id="9667" name="TextBox 9666">
              <a:extLst>
                <a:ext uri="{FF2B5EF4-FFF2-40B4-BE49-F238E27FC236}">
                  <a16:creationId xmlns:a16="http://schemas.microsoft.com/office/drawing/2014/main" id="{00000000-0008-0000-0500-0000C3250000}"/>
                </a:ext>
              </a:extLst>
            </xdr:cNvPr>
            <xdr:cNvSpPr txBox="1"/>
          </xdr:nvSpPr>
          <xdr:spPr>
            <a:xfrm>
              <a:off x="3810000" y="82257899"/>
              <a:ext cx="2286000" cy="1143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sSub>
                      <m:sSubPr>
                        <m:ctrlPr>
                          <a:rPr lang="it-IT" sz="1000" b="0" i="1">
                            <a:latin typeface="Cambria Math" panose="02040503050406030204" pitchFamily="18" charset="0"/>
                          </a:rPr>
                        </m:ctrlPr>
                      </m:sSubPr>
                      <m:e>
                        <m:r>
                          <a:rPr lang="it-IT" sz="1000" b="0" i="1">
                            <a:latin typeface="Cambria Math" panose="02040503050406030204" pitchFamily="18" charset="0"/>
                          </a:rPr>
                          <m:t>𝜏</m:t>
                        </m:r>
                      </m:e>
                      <m:sub>
                        <m:r>
                          <a:rPr lang="it-IT" sz="1000" b="0" i="1">
                            <a:latin typeface="Cambria Math" panose="02040503050406030204" pitchFamily="18" charset="0"/>
                          </a:rPr>
                          <m:t>2,</m:t>
                        </m:r>
                        <m:r>
                          <a:rPr lang="it-IT" sz="1000" b="0" i="1">
                            <a:latin typeface="Cambria Math" panose="02040503050406030204" pitchFamily="18" charset="0"/>
                          </a:rPr>
                          <m:t>𝑚𝑎𝑥</m:t>
                        </m:r>
                      </m:sub>
                    </m:sSub>
                    <m:r>
                      <a:rPr lang="it-IT" sz="1000" b="0" i="1">
                        <a:latin typeface="Cambria Math" panose="02040503050406030204" pitchFamily="18" charset="0"/>
                      </a:rPr>
                      <m:t>=</m:t>
                    </m:r>
                  </m:oMath>
                  <m:oMath xmlns:m="http://schemas.openxmlformats.org/officeDocument/2006/math">
                    <m:r>
                      <a:rPr lang="it-IT" sz="1000" b="0" i="1">
                        <a:latin typeface="Cambria Math" panose="02040503050406030204" pitchFamily="18" charset="0"/>
                      </a:rPr>
                      <m:t> </m:t>
                    </m:r>
                    <m:d>
                      <m:dPr>
                        <m:begChr m:val="{"/>
                        <m:endChr m:val=""/>
                        <m:ctrlPr>
                          <a:rPr lang="it-IT" sz="1000" b="0" i="1">
                            <a:latin typeface="Cambria Math" panose="02040503050406030204" pitchFamily="18" charset="0"/>
                          </a:rPr>
                        </m:ctrlPr>
                      </m:dPr>
                      <m:e>
                        <m:eqArr>
                          <m:eqArrPr>
                            <m:ctrlPr>
                              <a:rPr lang="it-IT" sz="1000" b="0" i="1">
                                <a:latin typeface="Cambria Math" panose="02040503050406030204" pitchFamily="18" charset="0"/>
                              </a:rPr>
                            </m:ctrlPr>
                          </m:eqArrPr>
                          <m:e>
                            <m:f>
                              <m:fPr>
                                <m:ctrlPr>
                                  <a:rPr lang="it-IT" sz="1000" b="0" i="1">
                                    <a:latin typeface="Cambria Math" panose="02040503050406030204" pitchFamily="18" charset="0"/>
                                  </a:rPr>
                                </m:ctrlPr>
                              </m:fPr>
                              <m:num>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sSub>
                                  <m:sSubPr>
                                    <m:ctrlPr>
                                      <a:rPr lang="it-IT" sz="1000" b="0" i="1">
                                        <a:latin typeface="Cambria Math" panose="02040503050406030204" pitchFamily="18" charset="0"/>
                                      </a:rPr>
                                    </m:ctrlPr>
                                  </m:sSubPr>
                                  <m:e>
                                    <m:r>
                                      <a:rPr lang="it-IT" sz="1000" b="0" i="1">
                                        <a:latin typeface="Cambria Math" panose="02040503050406030204" pitchFamily="18" charset="0"/>
                                      </a:rPr>
                                      <m:t>𝐸</m:t>
                                    </m:r>
                                  </m:e>
                                  <m:sub>
                                    <m:r>
                                      <a:rPr lang="it-IT" sz="1000" b="0" i="1">
                                        <a:latin typeface="Cambria Math" panose="02040503050406030204" pitchFamily="18" charset="0"/>
                                      </a:rPr>
                                      <m:t>2</m:t>
                                    </m:r>
                                  </m:sub>
                                </m:sSub>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num>
                              <m:den>
                                <m:sSub>
                                  <m:sSubPr>
                                    <m:ctrlPr>
                                      <a:rPr lang="it-IT" sz="1000" b="0" i="1">
                                        <a:latin typeface="Cambria Math" panose="02040503050406030204" pitchFamily="18" charset="0"/>
                                      </a:rPr>
                                    </m:ctrlPr>
                                  </m:sSubPr>
                                  <m:e>
                                    <m:d>
                                      <m:dPr>
                                        <m:ctrlPr>
                                          <a:rPr lang="it-IT" sz="1000" b="0" i="1">
                                            <a:latin typeface="Cambria Math" panose="02040503050406030204" pitchFamily="18" charset="0"/>
                                          </a:rPr>
                                        </m:ctrlPr>
                                      </m:dPr>
                                      <m:e>
                                        <m:r>
                                          <a:rPr lang="it-IT" sz="1000" b="0" i="1">
                                            <a:latin typeface="Cambria Math" panose="02040503050406030204" pitchFamily="18" charset="0"/>
                                          </a:rPr>
                                          <m:t>𝐸𝐽</m:t>
                                        </m:r>
                                      </m:e>
                                    </m:d>
                                  </m:e>
                                  <m:sub>
                                    <m:r>
                                      <a:rPr lang="it-IT" sz="1000" b="0" i="1">
                                        <a:latin typeface="Cambria Math" panose="02040503050406030204" pitchFamily="18" charset="0"/>
                                      </a:rPr>
                                      <m:t>𝑒𝑓𝑓</m:t>
                                    </m:r>
                                  </m:sub>
                                </m:sSub>
                              </m:den>
                            </m:f>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𝑉</m:t>
                                </m:r>
                              </m:e>
                              <m:sub>
                                <m:r>
                                  <a:rPr lang="it-IT" sz="1000" b="0" i="1">
                                    <a:latin typeface="Cambria Math" panose="02040503050406030204" pitchFamily="18" charset="0"/>
                                  </a:rPr>
                                  <m:t>𝑠</m:t>
                                </m:r>
                                <m:r>
                                  <a:rPr lang="it-IT" sz="1000" b="0" i="1">
                                    <a:latin typeface="Cambria Math" panose="02040503050406030204" pitchFamily="18" charset="0"/>
                                  </a:rPr>
                                  <m:t>,</m:t>
                                </m:r>
                                <m:r>
                                  <a:rPr lang="it-IT" sz="1000" b="0" i="1">
                                    <a:latin typeface="Cambria Math" panose="02040503050406030204" pitchFamily="18" charset="0"/>
                                  </a:rPr>
                                  <m:t>𝑑</m:t>
                                </m:r>
                              </m:sub>
                            </m:sSub>
                            <m:r>
                              <a:rPr lang="it-IT" sz="1000" b="0" i="1">
                                <a:latin typeface="Cambria Math" panose="02040503050406030204" pitchFamily="18" charset="0"/>
                              </a:rPr>
                              <m:t>      ∀</m:t>
                            </m:r>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r>
                              <a:rPr lang="it-IT" sz="1000" b="0" i="1">
                                <a:latin typeface="Cambria Math" panose="02040503050406030204" pitchFamily="18" charset="0"/>
                              </a:rPr>
                              <m:t>/2</m:t>
                            </m:r>
                          </m:e>
                          <m:e>
                            <m:f>
                              <m:fPr>
                                <m:ctrlPr>
                                  <a:rPr lang="it-IT" sz="1000" b="0" i="1">
                                    <a:latin typeface="Cambria Math" panose="02040503050406030204" pitchFamily="18" charset="0"/>
                                  </a:rPr>
                                </m:ctrlPr>
                              </m:fPr>
                              <m:num>
                                <m:r>
                                  <a:rPr lang="it-IT" sz="1000" b="0" i="1">
                                    <a:latin typeface="Cambria Math" panose="02040503050406030204" pitchFamily="18" charset="0"/>
                                  </a:rPr>
                                  <m:t>0,5⋅</m:t>
                                </m:r>
                                <m:sSub>
                                  <m:sSubPr>
                                    <m:ctrlPr>
                                      <a:rPr lang="it-IT" sz="1000" b="0" i="1">
                                        <a:latin typeface="Cambria Math" panose="02040503050406030204" pitchFamily="18" charset="0"/>
                                      </a:rPr>
                                    </m:ctrlPr>
                                  </m:sSubPr>
                                  <m:e>
                                    <m:r>
                                      <a:rPr lang="it-IT" sz="1000" b="0" i="1">
                                        <a:latin typeface="Cambria Math" panose="02040503050406030204" pitchFamily="18" charset="0"/>
                                      </a:rPr>
                                      <m:t>𝐸</m:t>
                                    </m:r>
                                  </m:e>
                                  <m:sub>
                                    <m:r>
                                      <a:rPr lang="it-IT" sz="1000" b="0" i="1">
                                        <a:latin typeface="Cambria Math" panose="02040503050406030204" pitchFamily="18" charset="0"/>
                                      </a:rPr>
                                      <m:t>2</m:t>
                                    </m:r>
                                  </m:sub>
                                </m:sSub>
                                <m:r>
                                  <a:rPr lang="it-IT" sz="1000" b="0" i="1">
                                    <a:latin typeface="Cambria Math" panose="02040503050406030204" pitchFamily="18" charset="0"/>
                                  </a:rPr>
                                  <m:t>⋅</m:t>
                                </m:r>
                                <m:sSup>
                                  <m:sSupPr>
                                    <m:ctrlPr>
                                      <a:rPr lang="it-IT" sz="1000" b="0" i="1">
                                        <a:latin typeface="Cambria Math" panose="02040503050406030204" pitchFamily="18" charset="0"/>
                                      </a:rPr>
                                    </m:ctrlPr>
                                  </m:sSupPr>
                                  <m:e>
                                    <m:d>
                                      <m:dPr>
                                        <m:ctrlPr>
                                          <a:rPr lang="it-IT" sz="1000" b="0" i="1">
                                            <a:latin typeface="Cambria Math" panose="02040503050406030204" pitchFamily="18" charset="0"/>
                                          </a:rPr>
                                        </m:ctrlPr>
                                      </m:dPr>
                                      <m:e>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r>
                                          <a:rPr lang="it-IT" sz="1000" b="0" i="1">
                                            <a:latin typeface="Cambria Math" panose="02040503050406030204" pitchFamily="18" charset="0"/>
                                          </a:rPr>
                                          <m:t>/2+</m:t>
                                        </m:r>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e>
                                    </m:d>
                                  </m:e>
                                  <m:sup>
                                    <m:r>
                                      <a:rPr lang="it-IT" sz="1000" b="0" i="1">
                                        <a:latin typeface="Cambria Math" panose="02040503050406030204" pitchFamily="18" charset="0"/>
                                      </a:rPr>
                                      <m:t>2</m:t>
                                    </m:r>
                                  </m:sup>
                                </m:sSup>
                              </m:num>
                              <m:den>
                                <m:sSub>
                                  <m:sSubPr>
                                    <m:ctrlPr>
                                      <a:rPr lang="it-IT" sz="1000" b="0" i="1">
                                        <a:latin typeface="Cambria Math" panose="02040503050406030204" pitchFamily="18" charset="0"/>
                                      </a:rPr>
                                    </m:ctrlPr>
                                  </m:sSubPr>
                                  <m:e>
                                    <m:d>
                                      <m:dPr>
                                        <m:ctrlPr>
                                          <a:rPr lang="it-IT" sz="1000" b="0" i="1">
                                            <a:latin typeface="Cambria Math" panose="02040503050406030204" pitchFamily="18" charset="0"/>
                                          </a:rPr>
                                        </m:ctrlPr>
                                      </m:dPr>
                                      <m:e>
                                        <m:r>
                                          <a:rPr lang="it-IT" sz="1000" b="0" i="1">
                                            <a:latin typeface="Cambria Math" panose="02040503050406030204" pitchFamily="18" charset="0"/>
                                          </a:rPr>
                                          <m:t>𝐸𝐽</m:t>
                                        </m:r>
                                      </m:e>
                                    </m:d>
                                  </m:e>
                                  <m:sub>
                                    <m:r>
                                      <a:rPr lang="it-IT" sz="1000" b="0" i="1">
                                        <a:latin typeface="Cambria Math" panose="02040503050406030204" pitchFamily="18" charset="0"/>
                                      </a:rPr>
                                      <m:t>𝑒𝑓𝑓</m:t>
                                    </m:r>
                                  </m:sub>
                                </m:sSub>
                              </m:den>
                            </m:f>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𝑉</m:t>
                                </m:r>
                              </m:e>
                              <m:sub>
                                <m:r>
                                  <a:rPr lang="it-IT" sz="1000" b="0" i="1">
                                    <a:latin typeface="Cambria Math" panose="02040503050406030204" pitchFamily="18" charset="0"/>
                                  </a:rPr>
                                  <m:t>𝑠𝑑</m:t>
                                </m:r>
                              </m:sub>
                            </m:sSub>
                            <m:r>
                              <a:rPr lang="it-IT" sz="1000" b="0" i="1">
                                <a:latin typeface="Cambria Math" panose="02040503050406030204" pitchFamily="18" charset="0"/>
                              </a:rPr>
                              <m:t>   </m:t>
                            </m:r>
                            <m:r>
                              <a:rPr lang="it-IT" sz="1000" b="0" i="1">
                                <a:solidFill>
                                  <a:schemeClr val="tx1"/>
                                </a:solidFill>
                                <a:effectLst/>
                                <a:latin typeface="Cambria Math" panose="02040503050406030204" pitchFamily="18" charset="0"/>
                                <a:ea typeface="+mn-ea"/>
                                <a:cs typeface="+mn-cs"/>
                              </a:rPr>
                              <m:t> ∀</m:t>
                            </m:r>
                            <m:sSub>
                              <m:sSubPr>
                                <m:ctrlPr>
                                  <a:rPr lang="it-IT" sz="1000" b="0" i="1">
                                    <a:solidFill>
                                      <a:schemeClr val="tx1"/>
                                    </a:solidFill>
                                    <a:effectLst/>
                                    <a:latin typeface="Cambria Math" panose="02040503050406030204" pitchFamily="18" charset="0"/>
                                    <a:ea typeface="+mn-ea"/>
                                    <a:cs typeface="+mn-cs"/>
                                  </a:rPr>
                                </m:ctrlPr>
                              </m:sSubPr>
                              <m:e>
                                <m:r>
                                  <a:rPr lang="it-IT" sz="1000" b="0" i="1">
                                    <a:solidFill>
                                      <a:schemeClr val="tx1"/>
                                    </a:solidFill>
                                    <a:effectLst/>
                                    <a:latin typeface="Cambria Math" panose="02040503050406030204" pitchFamily="18" charset="0"/>
                                    <a:ea typeface="+mn-ea"/>
                                    <a:cs typeface="+mn-cs"/>
                                  </a:rPr>
                                  <m:t>𝑎</m:t>
                                </m:r>
                              </m:e>
                              <m:sub>
                                <m:r>
                                  <a:rPr lang="it-IT" sz="1000" b="0" i="1">
                                    <a:solidFill>
                                      <a:schemeClr val="tx1"/>
                                    </a:solidFill>
                                    <a:effectLst/>
                                    <a:latin typeface="Cambria Math" panose="02040503050406030204" pitchFamily="18" charset="0"/>
                                    <a:ea typeface="+mn-ea"/>
                                    <a:cs typeface="+mn-cs"/>
                                  </a:rPr>
                                  <m:t>2</m:t>
                                </m:r>
                              </m:sub>
                            </m:sSub>
                            <m:r>
                              <a:rPr lang="it-IT" sz="1000" b="0" i="1">
                                <a:solidFill>
                                  <a:schemeClr val="tx1"/>
                                </a:solidFill>
                                <a:effectLst/>
                                <a:latin typeface="Cambria Math" panose="02040503050406030204" pitchFamily="18" charset="0"/>
                                <a:ea typeface="+mn-ea"/>
                                <a:cs typeface="+mn-cs"/>
                              </a:rPr>
                              <m:t>&lt;</m:t>
                            </m:r>
                            <m:sSub>
                              <m:sSubPr>
                                <m:ctrlPr>
                                  <a:rPr lang="it-IT" sz="1000" b="0" i="1">
                                    <a:solidFill>
                                      <a:schemeClr val="tx1"/>
                                    </a:solidFill>
                                    <a:effectLst/>
                                    <a:latin typeface="Cambria Math" panose="02040503050406030204" pitchFamily="18" charset="0"/>
                                    <a:ea typeface="+mn-ea"/>
                                    <a:cs typeface="+mn-cs"/>
                                  </a:rPr>
                                </m:ctrlPr>
                              </m:sSubPr>
                              <m:e>
                                <m:r>
                                  <a:rPr lang="it-IT" sz="1000" b="0" i="1">
                                    <a:solidFill>
                                      <a:schemeClr val="tx1"/>
                                    </a:solidFill>
                                    <a:effectLst/>
                                    <a:latin typeface="Cambria Math" panose="02040503050406030204" pitchFamily="18" charset="0"/>
                                    <a:ea typeface="+mn-ea"/>
                                    <a:cs typeface="+mn-cs"/>
                                  </a:rPr>
                                  <m:t>h</m:t>
                                </m:r>
                              </m:e>
                              <m:sub>
                                <m:r>
                                  <a:rPr lang="it-IT" sz="1000" b="0" i="1">
                                    <a:solidFill>
                                      <a:schemeClr val="tx1"/>
                                    </a:solidFill>
                                    <a:effectLst/>
                                    <a:latin typeface="Cambria Math" panose="02040503050406030204" pitchFamily="18" charset="0"/>
                                    <a:ea typeface="+mn-ea"/>
                                    <a:cs typeface="+mn-cs"/>
                                  </a:rPr>
                                  <m:t>2</m:t>
                                </m:r>
                              </m:sub>
                            </m:sSub>
                            <m:r>
                              <a:rPr lang="it-IT" sz="1000" b="0" i="1">
                                <a:solidFill>
                                  <a:schemeClr val="tx1"/>
                                </a:solidFill>
                                <a:effectLst/>
                                <a:latin typeface="Cambria Math" panose="02040503050406030204" pitchFamily="18" charset="0"/>
                                <a:ea typeface="+mn-ea"/>
                                <a:cs typeface="+mn-cs"/>
                              </a:rPr>
                              <m:t>/2</m:t>
                            </m:r>
                          </m:e>
                        </m:eqArr>
                      </m:e>
                    </m:d>
                  </m:oMath>
                </m:oMathPara>
              </a14:m>
              <a:endParaRPr lang="it-IT" sz="1000"/>
            </a:p>
          </xdr:txBody>
        </xdr:sp>
      </mc:Choice>
      <mc:Fallback xmlns="">
        <xdr:sp macro="" textlink="">
          <xdr:nvSpPr>
            <xdr:cNvPr id="9667" name="TextBox 9666">
              <a:extLst>
                <a:ext uri="{FF2B5EF4-FFF2-40B4-BE49-F238E27FC236}">
                  <a16:creationId xmlns:a16="http://schemas.microsoft.com/office/drawing/2014/main" id="{3C2FC294-B0C7-420E-8712-EC63679D3E0D}"/>
                </a:ext>
              </a:extLst>
            </xdr:cNvPr>
            <xdr:cNvSpPr txBox="1"/>
          </xdr:nvSpPr>
          <xdr:spPr>
            <a:xfrm>
              <a:off x="3810000" y="82257899"/>
              <a:ext cx="2286000" cy="1143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000" b="0" i="0">
                  <a:latin typeface="Cambria Math" panose="02040503050406030204" pitchFamily="18" charset="0"/>
                </a:rPr>
                <a:t>𝜏_(2,𝑚𝑎𝑥)=</a:t>
              </a:r>
              <a:br>
                <a:rPr lang="it-IT" sz="1000" b="0" i="1">
                  <a:latin typeface="Cambria Math" panose="02040503050406030204" pitchFamily="18" charset="0"/>
                </a:rPr>
              </a:br>
              <a:r>
                <a:rPr lang="it-IT" sz="1000" b="0" i="0">
                  <a:latin typeface="Cambria Math" panose="02040503050406030204" pitchFamily="18" charset="0"/>
                </a:rPr>
                <a:t> {█((ℎ_2 𝐸_2 𝑎_2)/(𝐸𝐽)_𝑒𝑓𝑓 ⋅𝑉_(𝑠,𝑑)       ∀𝑎_2≥ℎ_2/2@(0,5⋅𝐸_2⋅(ℎ_2/2+𝑎_2 )^2)/(𝐸𝐽)_𝑒𝑓𝑓 ⋅𝑉_𝑠𝑑    </a:t>
              </a:r>
              <a:r>
                <a:rPr lang="it-IT" sz="1000" b="0" i="0">
                  <a:solidFill>
                    <a:schemeClr val="tx1"/>
                  </a:solidFill>
                  <a:effectLst/>
                  <a:latin typeface="+mn-lt"/>
                  <a:ea typeface="+mn-ea"/>
                  <a:cs typeface="+mn-cs"/>
                </a:rPr>
                <a:t> ∀𝑎_2</a:t>
              </a:r>
              <a:r>
                <a:rPr lang="it-IT" sz="1000" b="0" i="0">
                  <a:solidFill>
                    <a:schemeClr val="tx1"/>
                  </a:solidFill>
                  <a:effectLst/>
                  <a:latin typeface="Cambria Math" panose="02040503050406030204" pitchFamily="18" charset="0"/>
                  <a:ea typeface="+mn-ea"/>
                  <a:cs typeface="+mn-cs"/>
                </a:rPr>
                <a:t>&lt;</a:t>
              </a:r>
              <a:r>
                <a:rPr lang="it-IT" sz="1000" b="0" i="0">
                  <a:solidFill>
                    <a:schemeClr val="tx1"/>
                  </a:solidFill>
                  <a:effectLst/>
                  <a:latin typeface="+mn-lt"/>
                  <a:ea typeface="+mn-ea"/>
                  <a:cs typeface="+mn-cs"/>
                </a:rPr>
                <a:t>ℎ_2/2</a:t>
              </a:r>
              <a:r>
                <a:rPr lang="it-IT" sz="1000" b="0" i="0">
                  <a:solidFill>
                    <a:schemeClr val="tx1"/>
                  </a:solidFill>
                  <a:effectLst/>
                  <a:latin typeface="Cambria Math" panose="02040503050406030204" pitchFamily="18" charset="0"/>
                  <a:ea typeface="+mn-ea"/>
                  <a:cs typeface="+mn-cs"/>
                </a:rPr>
                <a:t>)┤</a:t>
              </a:r>
              <a:endParaRPr lang="it-IT" sz="1000"/>
            </a:p>
          </xdr:txBody>
        </xdr:sp>
      </mc:Fallback>
    </mc:AlternateContent>
    <xdr:clientData/>
  </xdr:oneCellAnchor>
  <xdr:oneCellAnchor>
    <xdr:from>
      <xdr:col>1</xdr:col>
      <xdr:colOff>0</xdr:colOff>
      <xdr:row>321</xdr:row>
      <xdr:rowOff>0</xdr:rowOff>
    </xdr:from>
    <xdr:ext cx="2286000" cy="381000"/>
    <mc:AlternateContent xmlns:mc="http://schemas.openxmlformats.org/markup-compatibility/2006" xmlns:a14="http://schemas.microsoft.com/office/drawing/2010/main">
      <mc:Choice Requires="a14">
        <xdr:sp macro="" textlink="">
          <xdr:nvSpPr>
            <xdr:cNvPr id="12021" name="TextBox 12020">
              <a:extLst>
                <a:ext uri="{FF2B5EF4-FFF2-40B4-BE49-F238E27FC236}">
                  <a16:creationId xmlns:a16="http://schemas.microsoft.com/office/drawing/2014/main" id="{00000000-0008-0000-0500-0000F52E0000}"/>
                </a:ext>
              </a:extLst>
            </xdr:cNvPr>
            <xdr:cNvSpPr txBox="1"/>
          </xdr:nvSpPr>
          <xdr:spPr>
            <a:xfrm>
              <a:off x="99391" y="86288217"/>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𝐹</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𝑎</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𝑠</m:t>
                            </m:r>
                          </m:e>
                          <m:sub>
                            <m:r>
                              <a:rPr lang="it-IT" sz="1100" b="0" i="1">
                                <a:solidFill>
                                  <a:schemeClr val="tx1"/>
                                </a:solidFill>
                                <a:effectLst/>
                                <a:latin typeface="Cambria Math" panose="02040503050406030204" pitchFamily="18" charset="0"/>
                                <a:ea typeface="+mn-ea"/>
                                <a:cs typeface="+mn-cs"/>
                              </a:rPr>
                              <m:t>𝑒𝑞</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&lt;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oMath>
                </m:oMathPara>
              </a14:m>
              <a:endParaRPr lang="it-IT" i="1">
                <a:effectLst/>
              </a:endParaRPr>
            </a:p>
          </xdr:txBody>
        </xdr:sp>
      </mc:Choice>
      <mc:Fallback xmlns="">
        <xdr:sp macro="" textlink="">
          <xdr:nvSpPr>
            <xdr:cNvPr id="12021" name="TextBox 12020">
              <a:extLst>
                <a:ext uri="{FF2B5EF4-FFF2-40B4-BE49-F238E27FC236}">
                  <a16:creationId xmlns:a16="http://schemas.microsoft.com/office/drawing/2014/main" id="{00000000-0008-0000-0500-0000F52E0000}"/>
                </a:ext>
              </a:extLst>
            </xdr:cNvPr>
            <xdr:cNvSpPr txBox="1"/>
          </xdr:nvSpPr>
          <xdr:spPr>
            <a:xfrm>
              <a:off x="99391" y="86288217"/>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𝐹_(𝑠,𝑑)=(𝛾_1 𝐸_1 𝐴_1 𝑎_1 𝑠_𝑒𝑞)/(𝐸𝐽)_𝑒𝑓𝑓 ⋅𝑉_(𝑠,𝑑)&lt;𝑅_𝑑</a:t>
              </a:r>
              <a:endParaRPr lang="it-IT" i="1">
                <a:effectLst/>
              </a:endParaRPr>
            </a:p>
          </xdr:txBody>
        </xdr:sp>
      </mc:Fallback>
    </mc:AlternateContent>
    <xdr:clientData/>
  </xdr:oneCellAnchor>
  <xdr:oneCellAnchor>
    <xdr:from>
      <xdr:col>7</xdr:col>
      <xdr:colOff>0</xdr:colOff>
      <xdr:row>321</xdr:row>
      <xdr:rowOff>0</xdr:rowOff>
    </xdr:from>
    <xdr:ext cx="2286000" cy="381000"/>
    <mc:AlternateContent xmlns:mc="http://schemas.openxmlformats.org/markup-compatibility/2006" xmlns:a14="http://schemas.microsoft.com/office/drawing/2010/main">
      <mc:Choice Requires="a14">
        <xdr:sp macro="" textlink="">
          <xdr:nvSpPr>
            <xdr:cNvPr id="12022" name="TextBox 12021">
              <a:extLst>
                <a:ext uri="{FF2B5EF4-FFF2-40B4-BE49-F238E27FC236}">
                  <a16:creationId xmlns:a16="http://schemas.microsoft.com/office/drawing/2014/main" id="{00000000-0008-0000-0500-0000F62E0000}"/>
                </a:ext>
              </a:extLst>
            </xdr:cNvPr>
            <xdr:cNvSpPr txBox="1"/>
          </xdr:nvSpPr>
          <xdr:spPr>
            <a:xfrm>
              <a:off x="3818283" y="86288217"/>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𝑘</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𝑘</m:t>
                            </m:r>
                          </m:e>
                          <m:sub>
                            <m:r>
                              <a:rPr lang="it-IT" sz="1100" b="0" i="1">
                                <a:solidFill>
                                  <a:schemeClr val="tx1"/>
                                </a:solidFill>
                                <a:effectLst/>
                                <a:latin typeface="Cambria Math" panose="02040503050406030204" pitchFamily="18" charset="0"/>
                                <a:ea typeface="+mn-ea"/>
                                <a:cs typeface="+mn-cs"/>
                              </a:rPr>
                              <m:t>𝑚𝑜𝑑</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12022" name="TextBox 12021">
              <a:extLst>
                <a:ext uri="{FF2B5EF4-FFF2-40B4-BE49-F238E27FC236}">
                  <a16:creationId xmlns:a16="http://schemas.microsoft.com/office/drawing/2014/main" id="{A725A0FC-2FFC-97BC-C76C-16FE4ABAD402}"/>
                </a:ext>
              </a:extLst>
            </xdr:cNvPr>
            <xdr:cNvSpPr txBox="1"/>
          </xdr:nvSpPr>
          <xdr:spPr>
            <a:xfrm>
              <a:off x="3818283" y="86288217"/>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𝑅_𝑑=(𝑅_𝑘⋅𝑘_𝑚𝑜𝑑)/(𝐸𝐽)_𝑒𝑓𝑓 ⋅𝑉_(𝑠,𝑑)</a:t>
              </a:r>
              <a:endParaRPr lang="it-IT">
                <a:effectLst/>
              </a:endParaRPr>
            </a:p>
          </xdr:txBody>
        </xdr:sp>
      </mc:Fallback>
    </mc:AlternateContent>
    <xdr:clientData/>
  </xdr:oneCellAnchor>
  <xdr:oneCellAnchor>
    <xdr:from>
      <xdr:col>1</xdr:col>
      <xdr:colOff>0</xdr:colOff>
      <xdr:row>326</xdr:row>
      <xdr:rowOff>0</xdr:rowOff>
    </xdr:from>
    <xdr:ext cx="2286000" cy="381000"/>
    <mc:AlternateContent xmlns:mc="http://schemas.openxmlformats.org/markup-compatibility/2006" xmlns:a14="http://schemas.microsoft.com/office/drawing/2010/main">
      <mc:Choice Requires="a14">
        <xdr:sp macro="" textlink="">
          <xdr:nvSpPr>
            <xdr:cNvPr id="7336" name="TextBox 7335">
              <a:extLst>
                <a:ext uri="{FF2B5EF4-FFF2-40B4-BE49-F238E27FC236}">
                  <a16:creationId xmlns:a16="http://schemas.microsoft.com/office/drawing/2014/main" id="{00000000-0008-0000-0500-0000A81C0000}"/>
                </a:ext>
              </a:extLst>
            </xdr:cNvPr>
            <xdr:cNvSpPr txBox="1"/>
          </xdr:nvSpPr>
          <xdr:spPr>
            <a:xfrm>
              <a:off x="95250" y="858202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𝐹</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𝑎</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𝑠</m:t>
                            </m:r>
                          </m:e>
                          <m:sub>
                            <m:r>
                              <a:rPr lang="it-IT" sz="1100" b="0" i="1">
                                <a:solidFill>
                                  <a:schemeClr val="tx1"/>
                                </a:solidFill>
                                <a:effectLst/>
                                <a:latin typeface="Cambria Math" panose="02040503050406030204" pitchFamily="18" charset="0"/>
                                <a:ea typeface="+mn-ea"/>
                                <a:cs typeface="+mn-cs"/>
                              </a:rPr>
                              <m:t>𝑒𝑞</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&lt;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7336" name="TextBox 7335">
              <a:extLst>
                <a:ext uri="{FF2B5EF4-FFF2-40B4-BE49-F238E27FC236}">
                  <a16:creationId xmlns:a16="http://schemas.microsoft.com/office/drawing/2014/main" id="{371651F1-5700-4CCF-988C-37362CB8CDED}"/>
                </a:ext>
              </a:extLst>
            </xdr:cNvPr>
            <xdr:cNvSpPr txBox="1"/>
          </xdr:nvSpPr>
          <xdr:spPr>
            <a:xfrm>
              <a:off x="95250" y="858202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𝐹_(𝑠,𝑑)=(𝛾_1 𝐸_1 𝐴_1 𝑎_1 𝑠_𝑒𝑞)/(𝐸𝐽)_𝑒𝑓𝑓 ⋅𝑉_(𝑠,𝑑)</a:t>
              </a:r>
              <a:r>
                <a:rPr lang="it-IT" sz="1100" b="0" i="0">
                  <a:solidFill>
                    <a:schemeClr val="tx1"/>
                  </a:solidFill>
                  <a:effectLst/>
                  <a:latin typeface="+mn-lt"/>
                  <a:ea typeface="+mn-ea"/>
                  <a:cs typeface="+mn-cs"/>
                </a:rPr>
                <a:t>&lt;𝑅_𝑑</a:t>
              </a:r>
              <a:endParaRPr lang="it-IT">
                <a:effectLst/>
              </a:endParaRPr>
            </a:p>
          </xdr:txBody>
        </xdr:sp>
      </mc:Fallback>
    </mc:AlternateContent>
    <xdr:clientData/>
  </xdr:oneCellAnchor>
  <xdr:oneCellAnchor>
    <xdr:from>
      <xdr:col>7</xdr:col>
      <xdr:colOff>0</xdr:colOff>
      <xdr:row>326</xdr:row>
      <xdr:rowOff>0</xdr:rowOff>
    </xdr:from>
    <xdr:ext cx="2286000" cy="381000"/>
    <mc:AlternateContent xmlns:mc="http://schemas.openxmlformats.org/markup-compatibility/2006" xmlns:a14="http://schemas.microsoft.com/office/drawing/2010/main">
      <mc:Choice Requires="a14">
        <xdr:sp macro="" textlink="">
          <xdr:nvSpPr>
            <xdr:cNvPr id="7337" name="TextBox 7336">
              <a:extLst>
                <a:ext uri="{FF2B5EF4-FFF2-40B4-BE49-F238E27FC236}">
                  <a16:creationId xmlns:a16="http://schemas.microsoft.com/office/drawing/2014/main" id="{00000000-0008-0000-0500-0000A91C0000}"/>
                </a:ext>
              </a:extLst>
            </xdr:cNvPr>
            <xdr:cNvSpPr txBox="1"/>
          </xdr:nvSpPr>
          <xdr:spPr>
            <a:xfrm>
              <a:off x="3810000" y="858202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𝑘</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𝑘</m:t>
                            </m:r>
                          </m:e>
                          <m:sub>
                            <m:r>
                              <a:rPr lang="it-IT" sz="1100" b="0" i="1">
                                <a:solidFill>
                                  <a:schemeClr val="tx1"/>
                                </a:solidFill>
                                <a:effectLst/>
                                <a:latin typeface="Cambria Math" panose="02040503050406030204" pitchFamily="18" charset="0"/>
                                <a:ea typeface="+mn-ea"/>
                                <a:cs typeface="+mn-cs"/>
                              </a:rPr>
                              <m:t>𝑚𝑜𝑑</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7337" name="TextBox 7336">
              <a:extLst>
                <a:ext uri="{FF2B5EF4-FFF2-40B4-BE49-F238E27FC236}">
                  <a16:creationId xmlns:a16="http://schemas.microsoft.com/office/drawing/2014/main" id="{EB08AFA3-B839-4BAA-8C4F-63F35C44BA61}"/>
                </a:ext>
              </a:extLst>
            </xdr:cNvPr>
            <xdr:cNvSpPr txBox="1"/>
          </xdr:nvSpPr>
          <xdr:spPr>
            <a:xfrm>
              <a:off x="3810000" y="858202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𝑅_𝑑=(𝑅_𝑘⋅𝑘_𝑚𝑜𝑑)/(𝐸𝐽)_𝑒𝑓𝑓 ⋅𝑉_(𝑠,𝑑)</a:t>
              </a:r>
              <a:endParaRPr lang="it-IT">
                <a:effectLst/>
              </a:endParaRPr>
            </a:p>
          </xdr:txBody>
        </xdr:sp>
      </mc:Fallback>
    </mc:AlternateContent>
    <xdr:clientData/>
  </xdr:oneCellAnchor>
  <xdr:oneCellAnchor>
    <xdr:from>
      <xdr:col>1</xdr:col>
      <xdr:colOff>0</xdr:colOff>
      <xdr:row>335</xdr:row>
      <xdr:rowOff>1</xdr:rowOff>
    </xdr:from>
    <xdr:ext cx="2286000" cy="381000"/>
    <mc:AlternateContent xmlns:mc="http://schemas.openxmlformats.org/markup-compatibility/2006" xmlns:a14="http://schemas.microsoft.com/office/drawing/2010/main">
      <mc:Choice Requires="a14">
        <xdr:sp macro="" textlink="">
          <xdr:nvSpPr>
            <xdr:cNvPr id="7338" name="TextBox 7337">
              <a:extLst>
                <a:ext uri="{FF2B5EF4-FFF2-40B4-BE49-F238E27FC236}">
                  <a16:creationId xmlns:a16="http://schemas.microsoft.com/office/drawing/2014/main" id="{00000000-0008-0000-0500-0000AA1C0000}"/>
                </a:ext>
              </a:extLst>
            </xdr:cNvPr>
            <xdr:cNvSpPr txBox="1"/>
          </xdr:nvSpPr>
          <xdr:spPr>
            <a:xfrm>
              <a:off x="95250" y="7960995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1</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7338" name="TextBox 7337">
              <a:extLst>
                <a:ext uri="{FF2B5EF4-FFF2-40B4-BE49-F238E27FC236}">
                  <a16:creationId xmlns:a16="http://schemas.microsoft.com/office/drawing/2014/main" id="{19CA3404-DDC1-4D19-99D0-5BA3198A3BEB}"/>
                </a:ext>
              </a:extLst>
            </xdr:cNvPr>
            <xdr:cNvSpPr txBox="1"/>
          </xdr:nvSpPr>
          <xdr:spPr>
            <a:xfrm>
              <a:off x="95250" y="7960995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𝑁_(1,𝑑)=(𝛾_1 𝐸_1 𝐴_1 𝑎_1)/(𝐸𝐽)_𝑒𝑓𝑓   𝑀_(𝑠,𝑑)</a:t>
              </a:r>
              <a:endParaRPr lang="it-IT" sz="1100"/>
            </a:p>
          </xdr:txBody>
        </xdr:sp>
      </mc:Fallback>
    </mc:AlternateContent>
    <xdr:clientData/>
  </xdr:oneCellAnchor>
  <xdr:oneCellAnchor>
    <xdr:from>
      <xdr:col>1</xdr:col>
      <xdr:colOff>0</xdr:colOff>
      <xdr:row>338</xdr:row>
      <xdr:rowOff>1</xdr:rowOff>
    </xdr:from>
    <xdr:ext cx="2286000" cy="381000"/>
    <mc:AlternateContent xmlns:mc="http://schemas.openxmlformats.org/markup-compatibility/2006" xmlns:a14="http://schemas.microsoft.com/office/drawing/2010/main">
      <mc:Choice Requires="a14">
        <xdr:sp macro="" textlink="">
          <xdr:nvSpPr>
            <xdr:cNvPr id="7339" name="TextBox 7338">
              <a:extLst>
                <a:ext uri="{FF2B5EF4-FFF2-40B4-BE49-F238E27FC236}">
                  <a16:creationId xmlns:a16="http://schemas.microsoft.com/office/drawing/2014/main" id="{00000000-0008-0000-0500-0000AB1C0000}"/>
                </a:ext>
              </a:extLst>
            </xdr:cNvPr>
            <xdr:cNvSpPr txBox="1"/>
          </xdr:nvSpPr>
          <xdr:spPr>
            <a:xfrm>
              <a:off x="9525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7339" name="TextBox 7338">
              <a:extLst>
                <a:ext uri="{FF2B5EF4-FFF2-40B4-BE49-F238E27FC236}">
                  <a16:creationId xmlns:a16="http://schemas.microsoft.com/office/drawing/2014/main" id="{49B406F3-90F9-4CB5-BEDA-457431AD643E}"/>
                </a:ext>
              </a:extLst>
            </xdr:cNvPr>
            <xdr:cNvSpPr txBox="1"/>
          </xdr:nvSpPr>
          <xdr:spPr>
            <a:xfrm>
              <a:off x="9525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𝑀_(1,𝑑)=(𝐸_1 𝐽_1)/(𝐸𝐽)_𝑒𝑓𝑓   𝑀_(𝑠,𝑑)</a:t>
              </a:r>
              <a:endParaRPr lang="it-IT" sz="1100"/>
            </a:p>
          </xdr:txBody>
        </xdr:sp>
      </mc:Fallback>
    </mc:AlternateContent>
    <xdr:clientData/>
  </xdr:oneCellAnchor>
  <xdr:oneCellAnchor>
    <xdr:from>
      <xdr:col>2</xdr:col>
      <xdr:colOff>0</xdr:colOff>
      <xdr:row>340</xdr:row>
      <xdr:rowOff>0</xdr:rowOff>
    </xdr:from>
    <xdr:ext cx="1143000" cy="381000"/>
    <mc:AlternateContent xmlns:mc="http://schemas.openxmlformats.org/markup-compatibility/2006" xmlns:a14="http://schemas.microsoft.com/office/drawing/2010/main">
      <mc:Choice Requires="a14">
        <xdr:sp macro="" textlink="">
          <xdr:nvSpPr>
            <xdr:cNvPr id="7340" name="TextBox 7339">
              <a:extLst>
                <a:ext uri="{FF2B5EF4-FFF2-40B4-BE49-F238E27FC236}">
                  <a16:creationId xmlns:a16="http://schemas.microsoft.com/office/drawing/2014/main" id="{00000000-0008-0000-0500-0000AC1C0000}"/>
                </a:ext>
              </a:extLst>
            </xdr:cNvPr>
            <xdr:cNvSpPr txBox="1"/>
          </xdr:nvSpPr>
          <xdr:spPr>
            <a:xfrm>
              <a:off x="123825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1,</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den>
                    </m:f>
                  </m:oMath>
                </m:oMathPara>
              </a14:m>
              <a:endParaRPr lang="it-IT" sz="1100"/>
            </a:p>
          </xdr:txBody>
        </xdr:sp>
      </mc:Choice>
      <mc:Fallback xmlns="">
        <xdr:sp macro="" textlink="">
          <xdr:nvSpPr>
            <xdr:cNvPr id="7340" name="TextBox 7339">
              <a:extLst>
                <a:ext uri="{FF2B5EF4-FFF2-40B4-BE49-F238E27FC236}">
                  <a16:creationId xmlns:a16="http://schemas.microsoft.com/office/drawing/2014/main" id="{22F2068F-01E8-44C1-9511-AE2956B0EF81}"/>
                </a:ext>
              </a:extLst>
            </xdr:cNvPr>
            <xdr:cNvSpPr txBox="1"/>
          </xdr:nvSpPr>
          <xdr:spPr>
            <a:xfrm>
              <a:off x="123825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𝜎_1=𝑁_(1,𝑑)/𝐴_1 </a:t>
              </a:r>
              <a:endParaRPr lang="it-IT" sz="1100"/>
            </a:p>
          </xdr:txBody>
        </xdr:sp>
      </mc:Fallback>
    </mc:AlternateContent>
    <xdr:clientData/>
  </xdr:oneCellAnchor>
  <xdr:oneCellAnchor>
    <xdr:from>
      <xdr:col>2</xdr:col>
      <xdr:colOff>0</xdr:colOff>
      <xdr:row>341</xdr:row>
      <xdr:rowOff>0</xdr:rowOff>
    </xdr:from>
    <xdr:ext cx="1143000" cy="381000"/>
    <mc:AlternateContent xmlns:mc="http://schemas.openxmlformats.org/markup-compatibility/2006" xmlns:a14="http://schemas.microsoft.com/office/drawing/2010/main">
      <mc:Choice Requires="a14">
        <xdr:sp macro="" textlink="">
          <xdr:nvSpPr>
            <xdr:cNvPr id="7341" name="TextBox 7340">
              <a:extLst>
                <a:ext uri="{FF2B5EF4-FFF2-40B4-BE49-F238E27FC236}">
                  <a16:creationId xmlns:a16="http://schemas.microsoft.com/office/drawing/2014/main" id="{00000000-0008-0000-0500-0000AD1C0000}"/>
                </a:ext>
              </a:extLst>
            </xdr:cNvPr>
            <xdr:cNvSpPr txBox="1"/>
          </xdr:nvSpPr>
          <xdr:spPr>
            <a:xfrm>
              <a:off x="123825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r>
                          <a:rPr lang="it-IT" sz="1100" b="0" i="1">
                            <a:latin typeface="Cambria Math" panose="02040503050406030204" pitchFamily="18" charset="0"/>
                          </a:rPr>
                          <m:t>𝑚𝑜𝑚</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2 </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den>
                    </m:f>
                  </m:oMath>
                </m:oMathPara>
              </a14:m>
              <a:endParaRPr lang="it-IT" sz="1100"/>
            </a:p>
          </xdr:txBody>
        </xdr:sp>
      </mc:Choice>
      <mc:Fallback xmlns="">
        <xdr:sp macro="" textlink="">
          <xdr:nvSpPr>
            <xdr:cNvPr id="7341" name="TextBox 7340">
              <a:extLst>
                <a:ext uri="{FF2B5EF4-FFF2-40B4-BE49-F238E27FC236}">
                  <a16:creationId xmlns:a16="http://schemas.microsoft.com/office/drawing/2014/main" id="{4CA9DF16-34B3-4B1C-AE81-2AB73D304C02}"/>
                </a:ext>
              </a:extLst>
            </xdr:cNvPr>
            <xdr:cNvSpPr txBox="1"/>
          </xdr:nvSpPr>
          <xdr:spPr>
            <a:xfrm>
              <a:off x="123825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𝜎_(1,𝑚𝑜𝑚)=(𝑀_(1,𝑑)⋅ℎ_1)/(2 𝐽_1 )</a:t>
              </a:r>
              <a:endParaRPr lang="it-IT" sz="1100"/>
            </a:p>
          </xdr:txBody>
        </xdr:sp>
      </mc:Fallback>
    </mc:AlternateContent>
    <xdr:clientData/>
  </xdr:oneCellAnchor>
  <xdr:oneCellAnchor>
    <xdr:from>
      <xdr:col>1</xdr:col>
      <xdr:colOff>0</xdr:colOff>
      <xdr:row>344</xdr:row>
      <xdr:rowOff>0</xdr:rowOff>
    </xdr:from>
    <xdr:ext cx="2286000" cy="381000"/>
    <mc:AlternateContent xmlns:mc="http://schemas.openxmlformats.org/markup-compatibility/2006" xmlns:a14="http://schemas.microsoft.com/office/drawing/2010/main">
      <mc:Choice Requires="a14">
        <xdr:sp macro="" textlink="">
          <xdr:nvSpPr>
            <xdr:cNvPr id="7342" name="TextBox 7341">
              <a:extLst>
                <a:ext uri="{FF2B5EF4-FFF2-40B4-BE49-F238E27FC236}">
                  <a16:creationId xmlns:a16="http://schemas.microsoft.com/office/drawing/2014/main" id="{00000000-0008-0000-0500-0000AE1C0000}"/>
                </a:ext>
              </a:extLst>
            </xdr:cNvPr>
            <xdr:cNvSpPr txBox="1"/>
          </xdr:nvSpPr>
          <xdr:spPr>
            <a:xfrm>
              <a:off x="9525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𝑐</m:t>
                            </m:r>
                            <m:r>
                              <a:rPr lang="it-IT" sz="1100" b="0" i="1">
                                <a:latin typeface="Cambria Math" panose="02040503050406030204" pitchFamily="18" charset="0"/>
                              </a:rPr>
                              <m:t>,0,</m:t>
                            </m:r>
                            <m:r>
                              <a:rPr lang="it-IT" sz="1100" b="0" i="1">
                                <a:latin typeface="Cambria Math" panose="02040503050406030204" pitchFamily="18" charset="0"/>
                              </a:rPr>
                              <m:t>𝑑</m:t>
                            </m:r>
                          </m:sub>
                        </m:sSub>
                      </m:den>
                    </m:f>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𝜎</m:t>
                            </m:r>
                          </m:e>
                          <m:sub>
                            <m:r>
                              <a:rPr lang="it-IT" sz="1100" b="0" i="1">
                                <a:solidFill>
                                  <a:schemeClr val="tx1"/>
                                </a:solidFill>
                                <a:effectLst/>
                                <a:latin typeface="Cambria Math" panose="02040503050406030204" pitchFamily="18" charset="0"/>
                                <a:ea typeface="+mn-ea"/>
                                <a:cs typeface="+mn-cs"/>
                              </a:rPr>
                              <m:t>1,</m:t>
                            </m:r>
                            <m:r>
                              <a:rPr lang="it-IT" sz="1100" b="0" i="1">
                                <a:solidFill>
                                  <a:schemeClr val="tx1"/>
                                </a:solidFill>
                                <a:effectLst/>
                                <a:latin typeface="Cambria Math" panose="02040503050406030204" pitchFamily="18" charset="0"/>
                                <a:ea typeface="+mn-ea"/>
                                <a:cs typeface="+mn-cs"/>
                              </a:rPr>
                              <m:t>𝑚𝑜𝑚</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𝑚</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den>
                    </m:f>
                    <m:r>
                      <a:rPr lang="it-IT" sz="1100" b="0" i="1">
                        <a:solidFill>
                          <a:schemeClr val="tx1"/>
                        </a:solidFill>
                        <a:effectLst/>
                        <a:latin typeface="Cambria Math" panose="02040503050406030204" pitchFamily="18" charset="0"/>
                        <a:ea typeface="+mn-ea"/>
                        <a:cs typeface="+mn-cs"/>
                      </a:rPr>
                      <m:t>≤1</m:t>
                    </m:r>
                  </m:oMath>
                </m:oMathPara>
              </a14:m>
              <a:endParaRPr lang="it-IT" sz="1100"/>
            </a:p>
          </xdr:txBody>
        </xdr:sp>
      </mc:Choice>
      <mc:Fallback xmlns="">
        <xdr:sp macro="" textlink="">
          <xdr:nvSpPr>
            <xdr:cNvPr id="7342" name="TextBox 7341">
              <a:extLst>
                <a:ext uri="{FF2B5EF4-FFF2-40B4-BE49-F238E27FC236}">
                  <a16:creationId xmlns:a16="http://schemas.microsoft.com/office/drawing/2014/main" id="{68DA53D9-6C80-46F2-B5FC-EA10C2F26084}"/>
                </a:ext>
              </a:extLst>
            </xdr:cNvPr>
            <xdr:cNvSpPr txBox="1"/>
          </xdr:nvSpPr>
          <xdr:spPr>
            <a:xfrm>
              <a:off x="9525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𝜎_1/𝑓_(𝑐,0,𝑑) +</a:t>
              </a:r>
              <a:r>
                <a:rPr lang="it-IT" sz="1100" b="0" i="0">
                  <a:solidFill>
                    <a:schemeClr val="tx1"/>
                  </a:solidFill>
                  <a:effectLst/>
                  <a:latin typeface="Cambria Math" panose="02040503050406030204" pitchFamily="18" charset="0"/>
                  <a:ea typeface="+mn-ea"/>
                  <a:cs typeface="+mn-cs"/>
                </a:rPr>
                <a:t>𝜎_(1,𝑚𝑜𝑚)/𝑓_(𝑚,𝑦,𝑑) ≤1</a:t>
              </a:r>
              <a:endParaRPr lang="it-IT" sz="1100"/>
            </a:p>
          </xdr:txBody>
        </xdr:sp>
      </mc:Fallback>
    </mc:AlternateContent>
    <xdr:clientData/>
  </xdr:oneCellAnchor>
  <xdr:oneCellAnchor>
    <xdr:from>
      <xdr:col>1</xdr:col>
      <xdr:colOff>0</xdr:colOff>
      <xdr:row>347</xdr:row>
      <xdr:rowOff>0</xdr:rowOff>
    </xdr:from>
    <xdr:ext cx="2286000" cy="381000"/>
    <mc:AlternateContent xmlns:mc="http://schemas.openxmlformats.org/markup-compatibility/2006" xmlns:a14="http://schemas.microsoft.com/office/drawing/2010/main">
      <mc:Choice Requires="a14">
        <xdr:sp macro="" textlink="">
          <xdr:nvSpPr>
            <xdr:cNvPr id="7343" name="TextBox 7342">
              <a:extLst>
                <a:ext uri="{FF2B5EF4-FFF2-40B4-BE49-F238E27FC236}">
                  <a16:creationId xmlns:a16="http://schemas.microsoft.com/office/drawing/2014/main" id="{00000000-0008-0000-0500-0000AF1C0000}"/>
                </a:ext>
              </a:extLst>
            </xdr:cNvPr>
            <xdr:cNvSpPr txBox="1"/>
          </xdr:nvSpPr>
          <xdr:spPr>
            <a:xfrm>
              <a:off x="95250" y="824484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𝜏</m:t>
                        </m:r>
                      </m:e>
                      <m:sub>
                        <m:r>
                          <a:rPr lang="it-IT" sz="1100" b="0" i="1">
                            <a:latin typeface="Cambria Math" panose="02040503050406030204" pitchFamily="18" charset="0"/>
                          </a:rPr>
                          <m:t>𝑣</m:t>
                        </m:r>
                        <m:r>
                          <a:rPr lang="it-IT" sz="1100" b="0" i="1">
                            <a:latin typeface="Cambria Math" panose="02040503050406030204" pitchFamily="18" charset="0"/>
                          </a:rPr>
                          <m:t>,</m:t>
                        </m:r>
                        <m:r>
                          <a:rPr lang="it-IT" sz="1100" b="0" i="1">
                            <a:latin typeface="Cambria Math" panose="02040503050406030204" pitchFamily="18" charset="0"/>
                          </a:rPr>
                          <m:t>𝑥𝑧</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𝑆</m:t>
                            </m:r>
                          </m:e>
                          <m:sub>
                            <m:r>
                              <a:rPr lang="it-IT" sz="1100" b="0" i="1">
                                <a:latin typeface="Cambria Math" panose="02040503050406030204" pitchFamily="18" charset="0"/>
                              </a:rPr>
                              <m:t>𝑥</m:t>
                            </m:r>
                            <m:r>
                              <a:rPr lang="it-IT" sz="1100" b="0" i="1">
                                <a:latin typeface="Cambria Math" panose="02040503050406030204" pitchFamily="18" charset="0"/>
                              </a:rPr>
                              <m:t>,</m:t>
                            </m:r>
                            <m:r>
                              <a:rPr lang="it-IT" sz="1100" b="0" i="1">
                                <a:latin typeface="Cambria Math" panose="02040503050406030204" pitchFamily="18" charset="0"/>
                              </a:rPr>
                              <m:t>𝑛𝑒𝑡</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𝑉</m:t>
                            </m:r>
                          </m:e>
                          <m:sub>
                            <m:r>
                              <a:rPr lang="it-IT" sz="1100" b="0" i="1">
                                <a:latin typeface="Cambria Math" panose="02040503050406030204" pitchFamily="18" charset="0"/>
                              </a:rPr>
                              <m:t>𝑥𝑧</m:t>
                            </m:r>
                            <m:r>
                              <a:rPr lang="it-IT" sz="1100" b="0" i="1">
                                <a:latin typeface="Cambria Math" panose="02040503050406030204" pitchFamily="18" charset="0"/>
                              </a:rPr>
                              <m:t>,</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𝑥</m:t>
                            </m:r>
                            <m:r>
                              <a:rPr lang="it-IT" sz="1100" b="0" i="1">
                                <a:latin typeface="Cambria Math" panose="02040503050406030204" pitchFamily="18" charset="0"/>
                              </a:rPr>
                              <m:t>,</m:t>
                            </m:r>
                            <m:r>
                              <a:rPr lang="it-IT" sz="1100" b="0" i="1">
                                <a:latin typeface="Cambria Math" panose="02040503050406030204" pitchFamily="18" charset="0"/>
                              </a:rPr>
                              <m:t>𝑛𝑒𝑡</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𝑏</m:t>
                            </m:r>
                          </m:e>
                          <m:sub>
                            <m:r>
                              <a:rPr lang="it-IT" sz="1100" b="0" i="1">
                                <a:latin typeface="Cambria Math" panose="02040503050406030204" pitchFamily="18" charset="0"/>
                              </a:rPr>
                              <m:t>𝑥</m:t>
                            </m:r>
                          </m:sub>
                        </m:sSub>
                      </m:den>
                    </m:f>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𝑣</m:t>
                        </m:r>
                        <m:r>
                          <a:rPr lang="it-IT" sz="1100" b="0" i="1">
                            <a:latin typeface="Cambria Math" panose="02040503050406030204" pitchFamily="18" charset="0"/>
                          </a:rPr>
                          <m:t>,90,</m:t>
                        </m:r>
                        <m:r>
                          <a:rPr lang="it-IT" sz="1100" b="0" i="1">
                            <a:latin typeface="Cambria Math" panose="02040503050406030204" pitchFamily="18" charset="0"/>
                          </a:rPr>
                          <m:t>𝑦𝑙𝑎𝑦</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7343" name="TextBox 7342">
              <a:extLst>
                <a:ext uri="{FF2B5EF4-FFF2-40B4-BE49-F238E27FC236}">
                  <a16:creationId xmlns:a16="http://schemas.microsoft.com/office/drawing/2014/main" id="{779F3739-802F-4638-A6D5-A15C0A554694}"/>
                </a:ext>
              </a:extLst>
            </xdr:cNvPr>
            <xdr:cNvSpPr txBox="1"/>
          </xdr:nvSpPr>
          <xdr:spPr>
            <a:xfrm>
              <a:off x="95250" y="824484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𝜏_(𝑣,𝑥𝑧,𝑑)=(𝑆_(𝑥,𝑛𝑒𝑡)⋅𝑉_(𝑥𝑧,𝑑))/(𝐽_(𝑥,𝑛𝑒𝑡)⋅𝑏_𝑥 )≤𝑓_(𝑣,90,𝑦𝑙𝑎𝑦,𝑑)</a:t>
              </a:r>
              <a:endParaRPr lang="it-IT" sz="1100"/>
            </a:p>
          </xdr:txBody>
        </xdr:sp>
      </mc:Fallback>
    </mc:AlternateContent>
    <xdr:clientData/>
  </xdr:oneCellAnchor>
  <xdr:oneCellAnchor>
    <xdr:from>
      <xdr:col>1</xdr:col>
      <xdr:colOff>0</xdr:colOff>
      <xdr:row>350</xdr:row>
      <xdr:rowOff>0</xdr:rowOff>
    </xdr:from>
    <xdr:ext cx="2286000" cy="381000"/>
    <mc:AlternateContent xmlns:mc="http://schemas.openxmlformats.org/markup-compatibility/2006" xmlns:a14="http://schemas.microsoft.com/office/drawing/2010/main">
      <mc:Choice Requires="a14">
        <xdr:sp macro="" textlink="">
          <xdr:nvSpPr>
            <xdr:cNvPr id="7344" name="TextBox 7343">
              <a:extLst>
                <a:ext uri="{FF2B5EF4-FFF2-40B4-BE49-F238E27FC236}">
                  <a16:creationId xmlns:a16="http://schemas.microsoft.com/office/drawing/2014/main" id="{00000000-0008-0000-0500-0000B01C0000}"/>
                </a:ext>
              </a:extLst>
            </xdr:cNvPr>
            <xdr:cNvSpPr txBox="1"/>
          </xdr:nvSpPr>
          <xdr:spPr>
            <a:xfrm>
              <a:off x="95250" y="83115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𝜏</m:t>
                        </m:r>
                      </m:e>
                      <m:sub>
                        <m:r>
                          <a:rPr lang="it-IT" sz="1100" b="0" i="1">
                            <a:solidFill>
                              <a:schemeClr val="tx1"/>
                            </a:solidFill>
                            <a:effectLst/>
                            <a:latin typeface="Cambria Math" panose="02040503050406030204" pitchFamily="18" charset="0"/>
                            <a:ea typeface="+mn-ea"/>
                            <a:cs typeface="+mn-cs"/>
                          </a:rPr>
                          <m:t>𝑅𝑣</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𝑦𝑧</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𝑆</m:t>
                            </m:r>
                          </m:e>
                          <m:sub>
                            <m:r>
                              <a:rPr lang="it-IT" sz="1100" b="0" i="1">
                                <a:solidFill>
                                  <a:schemeClr val="tx1"/>
                                </a:solidFill>
                                <a:effectLst/>
                                <a:latin typeface="Cambria Math" panose="02040503050406030204" pitchFamily="18" charset="0"/>
                                <a:ea typeface="+mn-ea"/>
                                <a:cs typeface="+mn-cs"/>
                              </a:rPr>
                              <m:t>𝑅</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𝑛𝑒𝑡</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𝑦𝑧</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𝐽</m:t>
                            </m:r>
                          </m:e>
                          <m:sub>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𝑛𝑒𝑡</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𝑏</m:t>
                            </m:r>
                          </m:e>
                          <m:sub>
                            <m:r>
                              <a:rPr lang="it-IT" sz="1100" b="0" i="1">
                                <a:solidFill>
                                  <a:schemeClr val="tx1"/>
                                </a:solidFill>
                                <a:effectLst/>
                                <a:latin typeface="Cambria Math" panose="02040503050406030204" pitchFamily="18" charset="0"/>
                                <a:ea typeface="+mn-ea"/>
                                <a:cs typeface="+mn-cs"/>
                              </a:rPr>
                              <m:t>𝑦</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𝑣</m:t>
                        </m:r>
                        <m:r>
                          <a:rPr lang="it-IT" sz="1100" b="0" i="1">
                            <a:solidFill>
                              <a:schemeClr val="tx1"/>
                            </a:solidFill>
                            <a:effectLst/>
                            <a:latin typeface="Cambria Math" panose="02040503050406030204" pitchFamily="18" charset="0"/>
                            <a:ea typeface="+mn-ea"/>
                            <a:cs typeface="+mn-cs"/>
                          </a:rPr>
                          <m:t>,90,</m:t>
                        </m:r>
                        <m:r>
                          <a:rPr lang="it-IT" sz="1100" b="0" i="1">
                            <a:solidFill>
                              <a:schemeClr val="tx1"/>
                            </a:solidFill>
                            <a:effectLst/>
                            <a:latin typeface="Cambria Math" panose="02040503050406030204" pitchFamily="18" charset="0"/>
                            <a:ea typeface="+mn-ea"/>
                            <a:cs typeface="+mn-cs"/>
                          </a:rPr>
                          <m:t>𝑦𝑙𝑎𝑦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7344" name="TextBox 7343">
              <a:extLst>
                <a:ext uri="{FF2B5EF4-FFF2-40B4-BE49-F238E27FC236}">
                  <a16:creationId xmlns:a16="http://schemas.microsoft.com/office/drawing/2014/main" id="{2BD0B97D-0A1B-4176-97D2-27174E2908DB}"/>
                </a:ext>
              </a:extLst>
            </xdr:cNvPr>
            <xdr:cNvSpPr txBox="1"/>
          </xdr:nvSpPr>
          <xdr:spPr>
            <a:xfrm>
              <a:off x="95250" y="83115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𝜏_(𝑅𝑣,𝑦𝑧,𝑑)=(𝑆_(𝑅,𝑦,𝑛𝑒𝑡)⋅𝑉_(𝑦𝑧,𝑑))/(𝐽_(𝑦,𝑛𝑒𝑡)⋅𝑏_𝑦 )≤𝑓_(𝑣,90,𝑦𝑙𝑎𝑦,𝑑)</a:t>
              </a:r>
              <a:endParaRPr lang="it-IT">
                <a:effectLst/>
              </a:endParaRPr>
            </a:p>
          </xdr:txBody>
        </xdr:sp>
      </mc:Fallback>
    </mc:AlternateContent>
    <xdr:clientData/>
  </xdr:oneCellAnchor>
  <xdr:oneCellAnchor>
    <xdr:from>
      <xdr:col>7</xdr:col>
      <xdr:colOff>0</xdr:colOff>
      <xdr:row>335</xdr:row>
      <xdr:rowOff>0</xdr:rowOff>
    </xdr:from>
    <xdr:ext cx="2286000" cy="381000"/>
    <mc:AlternateContent xmlns:mc="http://schemas.openxmlformats.org/markup-compatibility/2006" xmlns:a14="http://schemas.microsoft.com/office/drawing/2010/main">
      <mc:Choice Requires="a14">
        <xdr:sp macro="" textlink="">
          <xdr:nvSpPr>
            <xdr:cNvPr id="7345" name="TextBox 7344">
              <a:extLst>
                <a:ext uri="{FF2B5EF4-FFF2-40B4-BE49-F238E27FC236}">
                  <a16:creationId xmlns:a16="http://schemas.microsoft.com/office/drawing/2014/main" id="{00000000-0008-0000-0500-0000B11C0000}"/>
                </a:ext>
              </a:extLst>
            </xdr:cNvPr>
            <xdr:cNvSpPr txBox="1"/>
          </xdr:nvSpPr>
          <xdr:spPr>
            <a:xfrm>
              <a:off x="3810000" y="796099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7345" name="TextBox 7344">
              <a:extLst>
                <a:ext uri="{FF2B5EF4-FFF2-40B4-BE49-F238E27FC236}">
                  <a16:creationId xmlns:a16="http://schemas.microsoft.com/office/drawing/2014/main" id="{6568CFF8-B153-4750-BDEC-5F1345AAFD13}"/>
                </a:ext>
              </a:extLst>
            </xdr:cNvPr>
            <xdr:cNvSpPr txBox="1"/>
          </xdr:nvSpPr>
          <xdr:spPr>
            <a:xfrm>
              <a:off x="3810000" y="796099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𝑁_(2,𝑑)=(𝛾_2 𝐸_2 𝐴_2 𝑎_2)/(𝐸𝐽)_𝑒𝑓𝑓   𝑀_(𝑠,𝑑)</a:t>
              </a:r>
              <a:endParaRPr lang="it-IT" sz="1100"/>
            </a:p>
          </xdr:txBody>
        </xdr:sp>
      </mc:Fallback>
    </mc:AlternateContent>
    <xdr:clientData/>
  </xdr:oneCellAnchor>
  <xdr:oneCellAnchor>
    <xdr:from>
      <xdr:col>7</xdr:col>
      <xdr:colOff>0</xdr:colOff>
      <xdr:row>338</xdr:row>
      <xdr:rowOff>1</xdr:rowOff>
    </xdr:from>
    <xdr:ext cx="2286000" cy="381000"/>
    <mc:AlternateContent xmlns:mc="http://schemas.openxmlformats.org/markup-compatibility/2006" xmlns:a14="http://schemas.microsoft.com/office/drawing/2010/main">
      <mc:Choice Requires="a14">
        <xdr:sp macro="" textlink="">
          <xdr:nvSpPr>
            <xdr:cNvPr id="7346" name="TextBox 7345">
              <a:extLst>
                <a:ext uri="{FF2B5EF4-FFF2-40B4-BE49-F238E27FC236}">
                  <a16:creationId xmlns:a16="http://schemas.microsoft.com/office/drawing/2014/main" id="{00000000-0008-0000-0500-0000B21C0000}"/>
                </a:ext>
              </a:extLst>
            </xdr:cNvPr>
            <xdr:cNvSpPr txBox="1"/>
          </xdr:nvSpPr>
          <xdr:spPr>
            <a:xfrm>
              <a:off x="381000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7346" name="TextBox 7345">
              <a:extLst>
                <a:ext uri="{FF2B5EF4-FFF2-40B4-BE49-F238E27FC236}">
                  <a16:creationId xmlns:a16="http://schemas.microsoft.com/office/drawing/2014/main" id="{D7A7679A-01FA-4EA2-806F-E9AAE8BCC141}"/>
                </a:ext>
              </a:extLst>
            </xdr:cNvPr>
            <xdr:cNvSpPr txBox="1"/>
          </xdr:nvSpPr>
          <xdr:spPr>
            <a:xfrm>
              <a:off x="381000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𝑀_(2,𝑑)=(𝐸_2 𝐽_2)/(𝐸𝐽)_𝑒𝑓𝑓   𝑀_(𝑠,𝑑)</a:t>
              </a:r>
              <a:endParaRPr lang="it-IT" sz="1100"/>
            </a:p>
          </xdr:txBody>
        </xdr:sp>
      </mc:Fallback>
    </mc:AlternateContent>
    <xdr:clientData/>
  </xdr:oneCellAnchor>
  <xdr:oneCellAnchor>
    <xdr:from>
      <xdr:col>8</xdr:col>
      <xdr:colOff>0</xdr:colOff>
      <xdr:row>340</xdr:row>
      <xdr:rowOff>0</xdr:rowOff>
    </xdr:from>
    <xdr:ext cx="1143000" cy="381000"/>
    <mc:AlternateContent xmlns:mc="http://schemas.openxmlformats.org/markup-compatibility/2006" xmlns:a14="http://schemas.microsoft.com/office/drawing/2010/main">
      <mc:Choice Requires="a14">
        <xdr:sp macro="" textlink="">
          <xdr:nvSpPr>
            <xdr:cNvPr id="7347" name="TextBox 7346">
              <a:extLst>
                <a:ext uri="{FF2B5EF4-FFF2-40B4-BE49-F238E27FC236}">
                  <a16:creationId xmlns:a16="http://schemas.microsoft.com/office/drawing/2014/main" id="{00000000-0008-0000-0500-0000B31C0000}"/>
                </a:ext>
              </a:extLst>
            </xdr:cNvPr>
            <xdr:cNvSpPr txBox="1"/>
          </xdr:nvSpPr>
          <xdr:spPr>
            <a:xfrm>
              <a:off x="495300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2,</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den>
                    </m:f>
                  </m:oMath>
                </m:oMathPara>
              </a14:m>
              <a:endParaRPr lang="it-IT" sz="1100"/>
            </a:p>
          </xdr:txBody>
        </xdr:sp>
      </mc:Choice>
      <mc:Fallback xmlns="">
        <xdr:sp macro="" textlink="">
          <xdr:nvSpPr>
            <xdr:cNvPr id="7347" name="TextBox 7346">
              <a:extLst>
                <a:ext uri="{FF2B5EF4-FFF2-40B4-BE49-F238E27FC236}">
                  <a16:creationId xmlns:a16="http://schemas.microsoft.com/office/drawing/2014/main" id="{A5904BC0-68CB-4FF5-BC8B-2E9CB1283A4B}"/>
                </a:ext>
              </a:extLst>
            </xdr:cNvPr>
            <xdr:cNvSpPr txBox="1"/>
          </xdr:nvSpPr>
          <xdr:spPr>
            <a:xfrm>
              <a:off x="495300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𝜎_2=𝑁_(2,𝑑)/𝐴_2 </a:t>
              </a:r>
              <a:endParaRPr lang="it-IT" sz="1100"/>
            </a:p>
          </xdr:txBody>
        </xdr:sp>
      </mc:Fallback>
    </mc:AlternateContent>
    <xdr:clientData/>
  </xdr:oneCellAnchor>
  <xdr:oneCellAnchor>
    <xdr:from>
      <xdr:col>8</xdr:col>
      <xdr:colOff>0</xdr:colOff>
      <xdr:row>341</xdr:row>
      <xdr:rowOff>0</xdr:rowOff>
    </xdr:from>
    <xdr:ext cx="1143000" cy="381000"/>
    <mc:AlternateContent xmlns:mc="http://schemas.openxmlformats.org/markup-compatibility/2006" xmlns:a14="http://schemas.microsoft.com/office/drawing/2010/main">
      <mc:Choice Requires="a14">
        <xdr:sp macro="" textlink="">
          <xdr:nvSpPr>
            <xdr:cNvPr id="7348" name="TextBox 7347">
              <a:extLst>
                <a:ext uri="{FF2B5EF4-FFF2-40B4-BE49-F238E27FC236}">
                  <a16:creationId xmlns:a16="http://schemas.microsoft.com/office/drawing/2014/main" id="{00000000-0008-0000-0500-0000B41C0000}"/>
                </a:ext>
              </a:extLst>
            </xdr:cNvPr>
            <xdr:cNvSpPr txBox="1"/>
          </xdr:nvSpPr>
          <xdr:spPr>
            <a:xfrm>
              <a:off x="495300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r>
                          <a:rPr lang="it-IT" sz="1100" b="0" i="1">
                            <a:latin typeface="Cambria Math" panose="02040503050406030204" pitchFamily="18" charset="0"/>
                          </a:rPr>
                          <m:t>𝑚𝑜𝑚</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den>
                    </m:f>
                  </m:oMath>
                </m:oMathPara>
              </a14:m>
              <a:endParaRPr lang="it-IT" sz="1100"/>
            </a:p>
          </xdr:txBody>
        </xdr:sp>
      </mc:Choice>
      <mc:Fallback xmlns="">
        <xdr:sp macro="" textlink="">
          <xdr:nvSpPr>
            <xdr:cNvPr id="7348" name="TextBox 7347">
              <a:extLst>
                <a:ext uri="{FF2B5EF4-FFF2-40B4-BE49-F238E27FC236}">
                  <a16:creationId xmlns:a16="http://schemas.microsoft.com/office/drawing/2014/main" id="{77E2C5D7-CEA7-42DF-B1A9-4B1A80659A08}"/>
                </a:ext>
              </a:extLst>
            </xdr:cNvPr>
            <xdr:cNvSpPr txBox="1"/>
          </xdr:nvSpPr>
          <xdr:spPr>
            <a:xfrm>
              <a:off x="495300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𝜎_(2,𝑚𝑜𝑚)=(𝑀_(2,𝑑)⋅ℎ_2)/𝐽_2 </a:t>
              </a:r>
              <a:endParaRPr lang="it-IT" sz="1100"/>
            </a:p>
          </xdr:txBody>
        </xdr:sp>
      </mc:Fallback>
    </mc:AlternateContent>
    <xdr:clientData/>
  </xdr:oneCellAnchor>
  <xdr:oneCellAnchor>
    <xdr:from>
      <xdr:col>7</xdr:col>
      <xdr:colOff>0</xdr:colOff>
      <xdr:row>344</xdr:row>
      <xdr:rowOff>0</xdr:rowOff>
    </xdr:from>
    <xdr:ext cx="2286000" cy="381000"/>
    <mc:AlternateContent xmlns:mc="http://schemas.openxmlformats.org/markup-compatibility/2006" xmlns:a14="http://schemas.microsoft.com/office/drawing/2010/main">
      <mc:Choice Requires="a14">
        <xdr:sp macro="" textlink="">
          <xdr:nvSpPr>
            <xdr:cNvPr id="7349" name="TextBox 7348">
              <a:extLst>
                <a:ext uri="{FF2B5EF4-FFF2-40B4-BE49-F238E27FC236}">
                  <a16:creationId xmlns:a16="http://schemas.microsoft.com/office/drawing/2014/main" id="{00000000-0008-0000-0500-0000B51C0000}"/>
                </a:ext>
              </a:extLst>
            </xdr:cNvPr>
            <xdr:cNvSpPr txBox="1"/>
          </xdr:nvSpPr>
          <xdr:spPr>
            <a:xfrm>
              <a:off x="381000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𝑡</m:t>
                            </m:r>
                            <m:r>
                              <a:rPr lang="it-IT" sz="1100" b="0" i="1">
                                <a:latin typeface="Cambria Math" panose="02040503050406030204" pitchFamily="18" charset="0"/>
                              </a:rPr>
                              <m:t>,0,</m:t>
                            </m:r>
                            <m:r>
                              <a:rPr lang="it-IT" sz="1100" b="0" i="1">
                                <a:latin typeface="Cambria Math" panose="02040503050406030204" pitchFamily="18" charset="0"/>
                              </a:rPr>
                              <m:t>𝑑</m:t>
                            </m:r>
                          </m:sub>
                        </m:sSub>
                      </m:den>
                    </m:f>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𝜎</m:t>
                            </m:r>
                          </m:e>
                          <m:sub>
                            <m:r>
                              <a:rPr lang="it-IT" sz="1100" b="0" i="1">
                                <a:solidFill>
                                  <a:schemeClr val="tx1"/>
                                </a:solidFill>
                                <a:effectLst/>
                                <a:latin typeface="Cambria Math" panose="02040503050406030204" pitchFamily="18" charset="0"/>
                                <a:ea typeface="+mn-ea"/>
                                <a:cs typeface="+mn-cs"/>
                              </a:rPr>
                              <m:t>2,</m:t>
                            </m:r>
                            <m:r>
                              <a:rPr lang="it-IT" sz="1100" b="0" i="1">
                                <a:solidFill>
                                  <a:schemeClr val="tx1"/>
                                </a:solidFill>
                                <a:effectLst/>
                                <a:latin typeface="Cambria Math" panose="02040503050406030204" pitchFamily="18" charset="0"/>
                                <a:ea typeface="+mn-ea"/>
                                <a:cs typeface="+mn-cs"/>
                              </a:rPr>
                              <m:t>𝑚𝑜𝑚</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𝑚</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den>
                    </m:f>
                    <m:r>
                      <a:rPr lang="it-IT" sz="1100" b="0" i="1">
                        <a:solidFill>
                          <a:schemeClr val="tx1"/>
                        </a:solidFill>
                        <a:effectLst/>
                        <a:latin typeface="Cambria Math" panose="02040503050406030204" pitchFamily="18" charset="0"/>
                        <a:ea typeface="+mn-ea"/>
                        <a:cs typeface="+mn-cs"/>
                      </a:rPr>
                      <m:t>≤1</m:t>
                    </m:r>
                  </m:oMath>
                </m:oMathPara>
              </a14:m>
              <a:endParaRPr lang="it-IT" sz="1100"/>
            </a:p>
          </xdr:txBody>
        </xdr:sp>
      </mc:Choice>
      <mc:Fallback xmlns="">
        <xdr:sp macro="" textlink="">
          <xdr:nvSpPr>
            <xdr:cNvPr id="7349" name="TextBox 7348">
              <a:extLst>
                <a:ext uri="{FF2B5EF4-FFF2-40B4-BE49-F238E27FC236}">
                  <a16:creationId xmlns:a16="http://schemas.microsoft.com/office/drawing/2014/main" id="{D2A75BB9-5644-4BB2-979A-E1FA98F377D4}"/>
                </a:ext>
              </a:extLst>
            </xdr:cNvPr>
            <xdr:cNvSpPr txBox="1"/>
          </xdr:nvSpPr>
          <xdr:spPr>
            <a:xfrm>
              <a:off x="381000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𝜎_2/𝑓_(𝑡,0,𝑑) +</a:t>
              </a:r>
              <a:r>
                <a:rPr lang="it-IT" sz="1100" b="0" i="0">
                  <a:solidFill>
                    <a:schemeClr val="tx1"/>
                  </a:solidFill>
                  <a:effectLst/>
                  <a:latin typeface="Cambria Math" panose="02040503050406030204" pitchFamily="18" charset="0"/>
                  <a:ea typeface="+mn-ea"/>
                  <a:cs typeface="+mn-cs"/>
                </a:rPr>
                <a:t>𝜎_(2,𝑚𝑜𝑚)/𝑓_(𝑚,𝑦,𝑑) ≤1</a:t>
              </a:r>
              <a:endParaRPr lang="it-IT" sz="1100"/>
            </a:p>
          </xdr:txBody>
        </xdr:sp>
      </mc:Fallback>
    </mc:AlternateContent>
    <xdr:clientData/>
  </xdr:oneCellAnchor>
  <xdr:oneCellAnchor>
    <xdr:from>
      <xdr:col>7</xdr:col>
      <xdr:colOff>0</xdr:colOff>
      <xdr:row>346</xdr:row>
      <xdr:rowOff>190499</xdr:rowOff>
    </xdr:from>
    <xdr:ext cx="2286000" cy="1143001"/>
    <mc:AlternateContent xmlns:mc="http://schemas.openxmlformats.org/markup-compatibility/2006" xmlns:a14="http://schemas.microsoft.com/office/drawing/2010/main">
      <mc:Choice Requires="a14">
        <xdr:sp macro="" textlink="">
          <xdr:nvSpPr>
            <xdr:cNvPr id="7350" name="TextBox 7349">
              <a:extLst>
                <a:ext uri="{FF2B5EF4-FFF2-40B4-BE49-F238E27FC236}">
                  <a16:creationId xmlns:a16="http://schemas.microsoft.com/office/drawing/2014/main" id="{00000000-0008-0000-0500-0000B61C0000}"/>
                </a:ext>
              </a:extLst>
            </xdr:cNvPr>
            <xdr:cNvSpPr txBox="1"/>
          </xdr:nvSpPr>
          <xdr:spPr>
            <a:xfrm>
              <a:off x="3810000" y="82448399"/>
              <a:ext cx="2286000" cy="1143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sSub>
                      <m:sSubPr>
                        <m:ctrlPr>
                          <a:rPr lang="it-IT" sz="1000" b="0" i="1">
                            <a:latin typeface="Cambria Math" panose="02040503050406030204" pitchFamily="18" charset="0"/>
                          </a:rPr>
                        </m:ctrlPr>
                      </m:sSubPr>
                      <m:e>
                        <m:r>
                          <a:rPr lang="it-IT" sz="1000" b="0" i="1">
                            <a:latin typeface="Cambria Math" panose="02040503050406030204" pitchFamily="18" charset="0"/>
                          </a:rPr>
                          <m:t>𝜏</m:t>
                        </m:r>
                      </m:e>
                      <m:sub>
                        <m:r>
                          <a:rPr lang="it-IT" sz="1000" b="0" i="1">
                            <a:latin typeface="Cambria Math" panose="02040503050406030204" pitchFamily="18" charset="0"/>
                          </a:rPr>
                          <m:t>2,</m:t>
                        </m:r>
                        <m:r>
                          <a:rPr lang="it-IT" sz="1000" b="0" i="1">
                            <a:latin typeface="Cambria Math" panose="02040503050406030204" pitchFamily="18" charset="0"/>
                          </a:rPr>
                          <m:t>𝑚𝑎𝑥</m:t>
                        </m:r>
                      </m:sub>
                    </m:sSub>
                    <m:r>
                      <a:rPr lang="it-IT" sz="1000" b="0" i="1">
                        <a:latin typeface="Cambria Math" panose="02040503050406030204" pitchFamily="18" charset="0"/>
                      </a:rPr>
                      <m:t>=</m:t>
                    </m:r>
                  </m:oMath>
                  <m:oMath xmlns:m="http://schemas.openxmlformats.org/officeDocument/2006/math">
                    <m:r>
                      <a:rPr lang="it-IT" sz="1000" b="0" i="1">
                        <a:latin typeface="Cambria Math" panose="02040503050406030204" pitchFamily="18" charset="0"/>
                      </a:rPr>
                      <m:t> </m:t>
                    </m:r>
                    <m:d>
                      <m:dPr>
                        <m:begChr m:val="{"/>
                        <m:endChr m:val=""/>
                        <m:ctrlPr>
                          <a:rPr lang="it-IT" sz="1000" b="0" i="1">
                            <a:latin typeface="Cambria Math" panose="02040503050406030204" pitchFamily="18" charset="0"/>
                          </a:rPr>
                        </m:ctrlPr>
                      </m:dPr>
                      <m:e>
                        <m:eqArr>
                          <m:eqArrPr>
                            <m:ctrlPr>
                              <a:rPr lang="it-IT" sz="1000" b="0" i="1">
                                <a:latin typeface="Cambria Math" panose="02040503050406030204" pitchFamily="18" charset="0"/>
                              </a:rPr>
                            </m:ctrlPr>
                          </m:eqArrPr>
                          <m:e>
                            <m:f>
                              <m:fPr>
                                <m:ctrlPr>
                                  <a:rPr lang="it-IT" sz="1000" b="0" i="1">
                                    <a:latin typeface="Cambria Math" panose="02040503050406030204" pitchFamily="18" charset="0"/>
                                  </a:rPr>
                                </m:ctrlPr>
                              </m:fPr>
                              <m:num>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sSub>
                                  <m:sSubPr>
                                    <m:ctrlPr>
                                      <a:rPr lang="it-IT" sz="1000" b="0" i="1">
                                        <a:latin typeface="Cambria Math" panose="02040503050406030204" pitchFamily="18" charset="0"/>
                                      </a:rPr>
                                    </m:ctrlPr>
                                  </m:sSubPr>
                                  <m:e>
                                    <m:r>
                                      <a:rPr lang="it-IT" sz="1000" b="0" i="1">
                                        <a:latin typeface="Cambria Math" panose="02040503050406030204" pitchFamily="18" charset="0"/>
                                      </a:rPr>
                                      <m:t>𝐸</m:t>
                                    </m:r>
                                  </m:e>
                                  <m:sub>
                                    <m:r>
                                      <a:rPr lang="it-IT" sz="1000" b="0" i="1">
                                        <a:latin typeface="Cambria Math" panose="02040503050406030204" pitchFamily="18" charset="0"/>
                                      </a:rPr>
                                      <m:t>2</m:t>
                                    </m:r>
                                  </m:sub>
                                </m:sSub>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num>
                              <m:den>
                                <m:sSub>
                                  <m:sSubPr>
                                    <m:ctrlPr>
                                      <a:rPr lang="it-IT" sz="1000" b="0" i="1">
                                        <a:latin typeface="Cambria Math" panose="02040503050406030204" pitchFamily="18" charset="0"/>
                                      </a:rPr>
                                    </m:ctrlPr>
                                  </m:sSubPr>
                                  <m:e>
                                    <m:d>
                                      <m:dPr>
                                        <m:ctrlPr>
                                          <a:rPr lang="it-IT" sz="1000" b="0" i="1">
                                            <a:latin typeface="Cambria Math" panose="02040503050406030204" pitchFamily="18" charset="0"/>
                                          </a:rPr>
                                        </m:ctrlPr>
                                      </m:dPr>
                                      <m:e>
                                        <m:r>
                                          <a:rPr lang="it-IT" sz="1000" b="0" i="1">
                                            <a:latin typeface="Cambria Math" panose="02040503050406030204" pitchFamily="18" charset="0"/>
                                          </a:rPr>
                                          <m:t>𝐸𝐽</m:t>
                                        </m:r>
                                      </m:e>
                                    </m:d>
                                  </m:e>
                                  <m:sub>
                                    <m:r>
                                      <a:rPr lang="it-IT" sz="1000" b="0" i="1">
                                        <a:latin typeface="Cambria Math" panose="02040503050406030204" pitchFamily="18" charset="0"/>
                                      </a:rPr>
                                      <m:t>𝑒𝑓𝑓</m:t>
                                    </m:r>
                                  </m:sub>
                                </m:sSub>
                              </m:den>
                            </m:f>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𝑉</m:t>
                                </m:r>
                              </m:e>
                              <m:sub>
                                <m:r>
                                  <a:rPr lang="it-IT" sz="1000" b="0" i="1">
                                    <a:latin typeface="Cambria Math" panose="02040503050406030204" pitchFamily="18" charset="0"/>
                                  </a:rPr>
                                  <m:t>𝑠</m:t>
                                </m:r>
                                <m:r>
                                  <a:rPr lang="it-IT" sz="1000" b="0" i="1">
                                    <a:latin typeface="Cambria Math" panose="02040503050406030204" pitchFamily="18" charset="0"/>
                                  </a:rPr>
                                  <m:t>,</m:t>
                                </m:r>
                                <m:r>
                                  <a:rPr lang="it-IT" sz="1000" b="0" i="1">
                                    <a:latin typeface="Cambria Math" panose="02040503050406030204" pitchFamily="18" charset="0"/>
                                  </a:rPr>
                                  <m:t>𝑑</m:t>
                                </m:r>
                              </m:sub>
                            </m:sSub>
                            <m:r>
                              <a:rPr lang="it-IT" sz="1000" b="0" i="1">
                                <a:latin typeface="Cambria Math" panose="02040503050406030204" pitchFamily="18" charset="0"/>
                              </a:rPr>
                              <m:t>      ∀</m:t>
                            </m:r>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r>
                              <a:rPr lang="it-IT" sz="1000" b="0" i="1">
                                <a:latin typeface="Cambria Math" panose="02040503050406030204" pitchFamily="18" charset="0"/>
                              </a:rPr>
                              <m:t>/2</m:t>
                            </m:r>
                          </m:e>
                          <m:e>
                            <m:f>
                              <m:fPr>
                                <m:ctrlPr>
                                  <a:rPr lang="it-IT" sz="1000" b="0" i="1">
                                    <a:latin typeface="Cambria Math" panose="02040503050406030204" pitchFamily="18" charset="0"/>
                                  </a:rPr>
                                </m:ctrlPr>
                              </m:fPr>
                              <m:num>
                                <m:r>
                                  <a:rPr lang="it-IT" sz="1000" b="0" i="1">
                                    <a:latin typeface="Cambria Math" panose="02040503050406030204" pitchFamily="18" charset="0"/>
                                  </a:rPr>
                                  <m:t>0,5⋅</m:t>
                                </m:r>
                                <m:sSub>
                                  <m:sSubPr>
                                    <m:ctrlPr>
                                      <a:rPr lang="it-IT" sz="1000" b="0" i="1">
                                        <a:latin typeface="Cambria Math" panose="02040503050406030204" pitchFamily="18" charset="0"/>
                                      </a:rPr>
                                    </m:ctrlPr>
                                  </m:sSubPr>
                                  <m:e>
                                    <m:r>
                                      <a:rPr lang="it-IT" sz="1000" b="0" i="1">
                                        <a:latin typeface="Cambria Math" panose="02040503050406030204" pitchFamily="18" charset="0"/>
                                      </a:rPr>
                                      <m:t>𝐸</m:t>
                                    </m:r>
                                  </m:e>
                                  <m:sub>
                                    <m:r>
                                      <a:rPr lang="it-IT" sz="1000" b="0" i="1">
                                        <a:latin typeface="Cambria Math" panose="02040503050406030204" pitchFamily="18" charset="0"/>
                                      </a:rPr>
                                      <m:t>2</m:t>
                                    </m:r>
                                  </m:sub>
                                </m:sSub>
                                <m:r>
                                  <a:rPr lang="it-IT" sz="1000" b="0" i="1">
                                    <a:latin typeface="Cambria Math" panose="02040503050406030204" pitchFamily="18" charset="0"/>
                                  </a:rPr>
                                  <m:t>⋅</m:t>
                                </m:r>
                                <m:sSup>
                                  <m:sSupPr>
                                    <m:ctrlPr>
                                      <a:rPr lang="it-IT" sz="1000" b="0" i="1">
                                        <a:latin typeface="Cambria Math" panose="02040503050406030204" pitchFamily="18" charset="0"/>
                                      </a:rPr>
                                    </m:ctrlPr>
                                  </m:sSupPr>
                                  <m:e>
                                    <m:d>
                                      <m:dPr>
                                        <m:ctrlPr>
                                          <a:rPr lang="it-IT" sz="1000" b="0" i="1">
                                            <a:latin typeface="Cambria Math" panose="02040503050406030204" pitchFamily="18" charset="0"/>
                                          </a:rPr>
                                        </m:ctrlPr>
                                      </m:dPr>
                                      <m:e>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r>
                                          <a:rPr lang="it-IT" sz="1000" b="0" i="1">
                                            <a:latin typeface="Cambria Math" panose="02040503050406030204" pitchFamily="18" charset="0"/>
                                          </a:rPr>
                                          <m:t>/2+</m:t>
                                        </m:r>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e>
                                    </m:d>
                                  </m:e>
                                  <m:sup>
                                    <m:r>
                                      <a:rPr lang="it-IT" sz="1000" b="0" i="1">
                                        <a:latin typeface="Cambria Math" panose="02040503050406030204" pitchFamily="18" charset="0"/>
                                      </a:rPr>
                                      <m:t>2</m:t>
                                    </m:r>
                                  </m:sup>
                                </m:sSup>
                              </m:num>
                              <m:den>
                                <m:sSub>
                                  <m:sSubPr>
                                    <m:ctrlPr>
                                      <a:rPr lang="it-IT" sz="1000" b="0" i="1">
                                        <a:latin typeface="Cambria Math" panose="02040503050406030204" pitchFamily="18" charset="0"/>
                                      </a:rPr>
                                    </m:ctrlPr>
                                  </m:sSubPr>
                                  <m:e>
                                    <m:d>
                                      <m:dPr>
                                        <m:ctrlPr>
                                          <a:rPr lang="it-IT" sz="1000" b="0" i="1">
                                            <a:latin typeface="Cambria Math" panose="02040503050406030204" pitchFamily="18" charset="0"/>
                                          </a:rPr>
                                        </m:ctrlPr>
                                      </m:dPr>
                                      <m:e>
                                        <m:r>
                                          <a:rPr lang="it-IT" sz="1000" b="0" i="1">
                                            <a:latin typeface="Cambria Math" panose="02040503050406030204" pitchFamily="18" charset="0"/>
                                          </a:rPr>
                                          <m:t>𝐸𝐽</m:t>
                                        </m:r>
                                      </m:e>
                                    </m:d>
                                  </m:e>
                                  <m:sub>
                                    <m:r>
                                      <a:rPr lang="it-IT" sz="1000" b="0" i="1">
                                        <a:latin typeface="Cambria Math" panose="02040503050406030204" pitchFamily="18" charset="0"/>
                                      </a:rPr>
                                      <m:t>𝑒𝑓𝑓</m:t>
                                    </m:r>
                                  </m:sub>
                                </m:sSub>
                              </m:den>
                            </m:f>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𝑉</m:t>
                                </m:r>
                              </m:e>
                              <m:sub>
                                <m:r>
                                  <a:rPr lang="it-IT" sz="1000" b="0" i="1">
                                    <a:latin typeface="Cambria Math" panose="02040503050406030204" pitchFamily="18" charset="0"/>
                                  </a:rPr>
                                  <m:t>𝑠𝑑</m:t>
                                </m:r>
                              </m:sub>
                            </m:sSub>
                            <m:r>
                              <a:rPr lang="it-IT" sz="1000" b="0" i="1">
                                <a:latin typeface="Cambria Math" panose="02040503050406030204" pitchFamily="18" charset="0"/>
                              </a:rPr>
                              <m:t>   </m:t>
                            </m:r>
                            <m:r>
                              <a:rPr lang="it-IT" sz="1000" b="0" i="1">
                                <a:solidFill>
                                  <a:schemeClr val="tx1"/>
                                </a:solidFill>
                                <a:effectLst/>
                                <a:latin typeface="Cambria Math" panose="02040503050406030204" pitchFamily="18" charset="0"/>
                                <a:ea typeface="+mn-ea"/>
                                <a:cs typeface="+mn-cs"/>
                              </a:rPr>
                              <m:t> ∀</m:t>
                            </m:r>
                            <m:sSub>
                              <m:sSubPr>
                                <m:ctrlPr>
                                  <a:rPr lang="it-IT" sz="1000" b="0" i="1">
                                    <a:solidFill>
                                      <a:schemeClr val="tx1"/>
                                    </a:solidFill>
                                    <a:effectLst/>
                                    <a:latin typeface="Cambria Math" panose="02040503050406030204" pitchFamily="18" charset="0"/>
                                    <a:ea typeface="+mn-ea"/>
                                    <a:cs typeface="+mn-cs"/>
                                  </a:rPr>
                                </m:ctrlPr>
                              </m:sSubPr>
                              <m:e>
                                <m:r>
                                  <a:rPr lang="it-IT" sz="1000" b="0" i="1">
                                    <a:solidFill>
                                      <a:schemeClr val="tx1"/>
                                    </a:solidFill>
                                    <a:effectLst/>
                                    <a:latin typeface="Cambria Math" panose="02040503050406030204" pitchFamily="18" charset="0"/>
                                    <a:ea typeface="+mn-ea"/>
                                    <a:cs typeface="+mn-cs"/>
                                  </a:rPr>
                                  <m:t>𝑎</m:t>
                                </m:r>
                              </m:e>
                              <m:sub>
                                <m:r>
                                  <a:rPr lang="it-IT" sz="1000" b="0" i="1">
                                    <a:solidFill>
                                      <a:schemeClr val="tx1"/>
                                    </a:solidFill>
                                    <a:effectLst/>
                                    <a:latin typeface="Cambria Math" panose="02040503050406030204" pitchFamily="18" charset="0"/>
                                    <a:ea typeface="+mn-ea"/>
                                    <a:cs typeface="+mn-cs"/>
                                  </a:rPr>
                                  <m:t>2</m:t>
                                </m:r>
                              </m:sub>
                            </m:sSub>
                            <m:r>
                              <a:rPr lang="it-IT" sz="1000" b="0" i="1">
                                <a:solidFill>
                                  <a:schemeClr val="tx1"/>
                                </a:solidFill>
                                <a:effectLst/>
                                <a:latin typeface="Cambria Math" panose="02040503050406030204" pitchFamily="18" charset="0"/>
                                <a:ea typeface="+mn-ea"/>
                                <a:cs typeface="+mn-cs"/>
                              </a:rPr>
                              <m:t>&lt;</m:t>
                            </m:r>
                            <m:sSub>
                              <m:sSubPr>
                                <m:ctrlPr>
                                  <a:rPr lang="it-IT" sz="1000" b="0" i="1">
                                    <a:solidFill>
                                      <a:schemeClr val="tx1"/>
                                    </a:solidFill>
                                    <a:effectLst/>
                                    <a:latin typeface="Cambria Math" panose="02040503050406030204" pitchFamily="18" charset="0"/>
                                    <a:ea typeface="+mn-ea"/>
                                    <a:cs typeface="+mn-cs"/>
                                  </a:rPr>
                                </m:ctrlPr>
                              </m:sSubPr>
                              <m:e>
                                <m:r>
                                  <a:rPr lang="it-IT" sz="1000" b="0" i="1">
                                    <a:solidFill>
                                      <a:schemeClr val="tx1"/>
                                    </a:solidFill>
                                    <a:effectLst/>
                                    <a:latin typeface="Cambria Math" panose="02040503050406030204" pitchFamily="18" charset="0"/>
                                    <a:ea typeface="+mn-ea"/>
                                    <a:cs typeface="+mn-cs"/>
                                  </a:rPr>
                                  <m:t>h</m:t>
                                </m:r>
                              </m:e>
                              <m:sub>
                                <m:r>
                                  <a:rPr lang="it-IT" sz="1000" b="0" i="1">
                                    <a:solidFill>
                                      <a:schemeClr val="tx1"/>
                                    </a:solidFill>
                                    <a:effectLst/>
                                    <a:latin typeface="Cambria Math" panose="02040503050406030204" pitchFamily="18" charset="0"/>
                                    <a:ea typeface="+mn-ea"/>
                                    <a:cs typeface="+mn-cs"/>
                                  </a:rPr>
                                  <m:t>2</m:t>
                                </m:r>
                              </m:sub>
                            </m:sSub>
                            <m:r>
                              <a:rPr lang="it-IT" sz="1000" b="0" i="1">
                                <a:solidFill>
                                  <a:schemeClr val="tx1"/>
                                </a:solidFill>
                                <a:effectLst/>
                                <a:latin typeface="Cambria Math" panose="02040503050406030204" pitchFamily="18" charset="0"/>
                                <a:ea typeface="+mn-ea"/>
                                <a:cs typeface="+mn-cs"/>
                              </a:rPr>
                              <m:t>/2</m:t>
                            </m:r>
                          </m:e>
                        </m:eqArr>
                      </m:e>
                    </m:d>
                  </m:oMath>
                </m:oMathPara>
              </a14:m>
              <a:endParaRPr lang="it-IT" sz="1000"/>
            </a:p>
          </xdr:txBody>
        </xdr:sp>
      </mc:Choice>
      <mc:Fallback xmlns="">
        <xdr:sp macro="" textlink="">
          <xdr:nvSpPr>
            <xdr:cNvPr id="7350" name="TextBox 7349">
              <a:extLst>
                <a:ext uri="{FF2B5EF4-FFF2-40B4-BE49-F238E27FC236}">
                  <a16:creationId xmlns:a16="http://schemas.microsoft.com/office/drawing/2014/main" id="{AC2AF8A5-98E3-4DC0-BFD4-2053F0305361}"/>
                </a:ext>
              </a:extLst>
            </xdr:cNvPr>
            <xdr:cNvSpPr txBox="1"/>
          </xdr:nvSpPr>
          <xdr:spPr>
            <a:xfrm>
              <a:off x="3810000" y="82448399"/>
              <a:ext cx="2286000" cy="1143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000" b="0" i="0">
                  <a:latin typeface="Cambria Math" panose="02040503050406030204" pitchFamily="18" charset="0"/>
                </a:rPr>
                <a:t>𝜏_(2,𝑚𝑎𝑥)=</a:t>
              </a:r>
              <a:br>
                <a:rPr lang="it-IT" sz="1000" b="0" i="1">
                  <a:latin typeface="Cambria Math" panose="02040503050406030204" pitchFamily="18" charset="0"/>
                </a:rPr>
              </a:br>
              <a:r>
                <a:rPr lang="it-IT" sz="1000" b="0" i="0">
                  <a:latin typeface="Cambria Math" panose="02040503050406030204" pitchFamily="18" charset="0"/>
                </a:rPr>
                <a:t> {█((ℎ_2 𝐸_2 𝑎_2)/(𝐸𝐽)_𝑒𝑓𝑓 ⋅𝑉_(𝑠,𝑑)       ∀𝑎_2≥ℎ_2/2@(0,5⋅𝐸_2⋅(ℎ_2/2+𝑎_2 )^2)/(𝐸𝐽)_𝑒𝑓𝑓 ⋅𝑉_𝑠𝑑    </a:t>
              </a:r>
              <a:r>
                <a:rPr lang="it-IT" sz="1000" b="0" i="0">
                  <a:solidFill>
                    <a:schemeClr val="tx1"/>
                  </a:solidFill>
                  <a:effectLst/>
                  <a:latin typeface="Cambria Math" panose="02040503050406030204" pitchFamily="18" charset="0"/>
                  <a:ea typeface="+mn-ea"/>
                  <a:cs typeface="+mn-cs"/>
                </a:rPr>
                <a:t> ∀𝑎_2&lt;ℎ_2/2)┤</a:t>
              </a:r>
              <a:endParaRPr lang="it-IT" sz="1000"/>
            </a:p>
          </xdr:txBody>
        </xdr:sp>
      </mc:Fallback>
    </mc:AlternateContent>
    <xdr:clientData/>
  </xdr:oneCellAnchor>
  <xdr:oneCellAnchor>
    <xdr:from>
      <xdr:col>1</xdr:col>
      <xdr:colOff>0</xdr:colOff>
      <xdr:row>357</xdr:row>
      <xdr:rowOff>0</xdr:rowOff>
    </xdr:from>
    <xdr:ext cx="2286000" cy="381000"/>
    <mc:AlternateContent xmlns:mc="http://schemas.openxmlformats.org/markup-compatibility/2006" xmlns:a14="http://schemas.microsoft.com/office/drawing/2010/main">
      <mc:Choice Requires="a14">
        <xdr:sp macro="" textlink="">
          <xdr:nvSpPr>
            <xdr:cNvPr id="7351" name="TextBox 7350">
              <a:extLst>
                <a:ext uri="{FF2B5EF4-FFF2-40B4-BE49-F238E27FC236}">
                  <a16:creationId xmlns:a16="http://schemas.microsoft.com/office/drawing/2014/main" id="{00000000-0008-0000-0500-0000B71C0000}"/>
                </a:ext>
              </a:extLst>
            </xdr:cNvPr>
            <xdr:cNvSpPr txBox="1"/>
          </xdr:nvSpPr>
          <xdr:spPr>
            <a:xfrm>
              <a:off x="9525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𝐹</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𝑎</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𝑠</m:t>
                            </m:r>
                          </m:e>
                          <m:sub>
                            <m:r>
                              <a:rPr lang="it-IT" sz="1100" b="0" i="1">
                                <a:solidFill>
                                  <a:schemeClr val="tx1"/>
                                </a:solidFill>
                                <a:effectLst/>
                                <a:latin typeface="Cambria Math" panose="02040503050406030204" pitchFamily="18" charset="0"/>
                                <a:ea typeface="+mn-ea"/>
                                <a:cs typeface="+mn-cs"/>
                              </a:rPr>
                              <m:t>𝑒𝑞</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&lt;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oMath>
                </m:oMathPara>
              </a14:m>
              <a:endParaRPr lang="it-IT" i="1">
                <a:effectLst/>
              </a:endParaRPr>
            </a:p>
          </xdr:txBody>
        </xdr:sp>
      </mc:Choice>
      <mc:Fallback xmlns="">
        <xdr:sp macro="" textlink="">
          <xdr:nvSpPr>
            <xdr:cNvPr id="7351" name="TextBox 7350">
              <a:extLst>
                <a:ext uri="{FF2B5EF4-FFF2-40B4-BE49-F238E27FC236}">
                  <a16:creationId xmlns:a16="http://schemas.microsoft.com/office/drawing/2014/main" id="{FF8802FD-AED1-4CF5-8390-578E2E734F34}"/>
                </a:ext>
              </a:extLst>
            </xdr:cNvPr>
            <xdr:cNvSpPr txBox="1"/>
          </xdr:nvSpPr>
          <xdr:spPr>
            <a:xfrm>
              <a:off x="9525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𝐹_(𝑠,𝑑)=(𝛾_1 𝐸_1 𝐴_1 𝑎_1 𝑠_𝑒𝑞)/(𝐸𝐽)_𝑒𝑓𝑓 ⋅𝑉_(𝑠,𝑑)&lt;𝑅_𝑑</a:t>
              </a:r>
              <a:endParaRPr lang="it-IT" i="1">
                <a:effectLst/>
              </a:endParaRPr>
            </a:p>
          </xdr:txBody>
        </xdr:sp>
      </mc:Fallback>
    </mc:AlternateContent>
    <xdr:clientData/>
  </xdr:oneCellAnchor>
  <xdr:oneCellAnchor>
    <xdr:from>
      <xdr:col>7</xdr:col>
      <xdr:colOff>0</xdr:colOff>
      <xdr:row>357</xdr:row>
      <xdr:rowOff>0</xdr:rowOff>
    </xdr:from>
    <xdr:ext cx="2286000" cy="381000"/>
    <mc:AlternateContent xmlns:mc="http://schemas.openxmlformats.org/markup-compatibility/2006" xmlns:a14="http://schemas.microsoft.com/office/drawing/2010/main">
      <mc:Choice Requires="a14">
        <xdr:sp macro="" textlink="">
          <xdr:nvSpPr>
            <xdr:cNvPr id="7352" name="TextBox 7351">
              <a:extLst>
                <a:ext uri="{FF2B5EF4-FFF2-40B4-BE49-F238E27FC236}">
                  <a16:creationId xmlns:a16="http://schemas.microsoft.com/office/drawing/2014/main" id="{00000000-0008-0000-0500-0000B81C0000}"/>
                </a:ext>
              </a:extLst>
            </xdr:cNvPr>
            <xdr:cNvSpPr txBox="1"/>
          </xdr:nvSpPr>
          <xdr:spPr>
            <a:xfrm>
              <a:off x="381000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𝑘</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𝑘</m:t>
                            </m:r>
                          </m:e>
                          <m:sub>
                            <m:r>
                              <a:rPr lang="it-IT" sz="1100" b="0" i="1">
                                <a:solidFill>
                                  <a:schemeClr val="tx1"/>
                                </a:solidFill>
                                <a:effectLst/>
                                <a:latin typeface="Cambria Math" panose="02040503050406030204" pitchFamily="18" charset="0"/>
                                <a:ea typeface="+mn-ea"/>
                                <a:cs typeface="+mn-cs"/>
                              </a:rPr>
                              <m:t>𝑚𝑜𝑑</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7352" name="TextBox 7351">
              <a:extLst>
                <a:ext uri="{FF2B5EF4-FFF2-40B4-BE49-F238E27FC236}">
                  <a16:creationId xmlns:a16="http://schemas.microsoft.com/office/drawing/2014/main" id="{C9A0B4EF-A5E5-4275-BF9E-78CE4E3135AF}"/>
                </a:ext>
              </a:extLst>
            </xdr:cNvPr>
            <xdr:cNvSpPr txBox="1"/>
          </xdr:nvSpPr>
          <xdr:spPr>
            <a:xfrm>
              <a:off x="381000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𝑅_𝑑=(𝑅_𝑘⋅𝑘_𝑚𝑜𝑑)/(𝐸𝐽)_𝑒𝑓𝑓 ⋅𝑉_(𝑠,𝑑)</a:t>
              </a:r>
              <a:endParaRPr lang="it-IT">
                <a:effectLst/>
              </a:endParaRPr>
            </a:p>
          </xdr:txBody>
        </xdr:sp>
      </mc:Fallback>
    </mc:AlternateContent>
    <xdr:clientData/>
  </xdr:oneCellAnchor>
  <xdr:oneCellAnchor>
    <xdr:from>
      <xdr:col>1</xdr:col>
      <xdr:colOff>0</xdr:colOff>
      <xdr:row>362</xdr:row>
      <xdr:rowOff>0</xdr:rowOff>
    </xdr:from>
    <xdr:ext cx="2286000" cy="381000"/>
    <mc:AlternateContent xmlns:mc="http://schemas.openxmlformats.org/markup-compatibility/2006" xmlns:a14="http://schemas.microsoft.com/office/drawing/2010/main">
      <mc:Choice Requires="a14">
        <xdr:sp macro="" textlink="">
          <xdr:nvSpPr>
            <xdr:cNvPr id="12056" name="TextBox 12055">
              <a:extLst>
                <a:ext uri="{FF2B5EF4-FFF2-40B4-BE49-F238E27FC236}">
                  <a16:creationId xmlns:a16="http://schemas.microsoft.com/office/drawing/2014/main" id="{00000000-0008-0000-0500-0000182F0000}"/>
                </a:ext>
              </a:extLst>
            </xdr:cNvPr>
            <xdr:cNvSpPr txBox="1"/>
          </xdr:nvSpPr>
          <xdr:spPr>
            <a:xfrm>
              <a:off x="9525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𝐹</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𝑎</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𝑠</m:t>
                            </m:r>
                          </m:e>
                          <m:sub>
                            <m:r>
                              <a:rPr lang="it-IT" sz="1100" b="0" i="1">
                                <a:solidFill>
                                  <a:schemeClr val="tx1"/>
                                </a:solidFill>
                                <a:effectLst/>
                                <a:latin typeface="Cambria Math" panose="02040503050406030204" pitchFamily="18" charset="0"/>
                                <a:ea typeface="+mn-ea"/>
                                <a:cs typeface="+mn-cs"/>
                              </a:rPr>
                              <m:t>𝑒𝑞</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&lt;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12056" name="TextBox 12055">
              <a:extLst>
                <a:ext uri="{FF2B5EF4-FFF2-40B4-BE49-F238E27FC236}">
                  <a16:creationId xmlns:a16="http://schemas.microsoft.com/office/drawing/2014/main" id="{3BC602B2-3A50-4370-AD01-992630783A3D}"/>
                </a:ext>
              </a:extLst>
            </xdr:cNvPr>
            <xdr:cNvSpPr txBox="1"/>
          </xdr:nvSpPr>
          <xdr:spPr>
            <a:xfrm>
              <a:off x="9525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𝐹_(𝑠,𝑑)=(𝛾_1 𝐸_1 𝐴_1 𝑎_1 𝑠_𝑒𝑞)/(𝐸𝐽)_𝑒𝑓𝑓 ⋅𝑉_(𝑠,𝑑)</a:t>
              </a:r>
              <a:r>
                <a:rPr lang="it-IT" sz="1100" b="0" i="0">
                  <a:solidFill>
                    <a:schemeClr val="tx1"/>
                  </a:solidFill>
                  <a:effectLst/>
                  <a:latin typeface="+mn-lt"/>
                  <a:ea typeface="+mn-ea"/>
                  <a:cs typeface="+mn-cs"/>
                </a:rPr>
                <a:t>&lt;𝑅_𝑑</a:t>
              </a:r>
              <a:endParaRPr lang="it-IT">
                <a:effectLst/>
              </a:endParaRPr>
            </a:p>
          </xdr:txBody>
        </xdr:sp>
      </mc:Fallback>
    </mc:AlternateContent>
    <xdr:clientData/>
  </xdr:oneCellAnchor>
  <xdr:oneCellAnchor>
    <xdr:from>
      <xdr:col>7</xdr:col>
      <xdr:colOff>0</xdr:colOff>
      <xdr:row>362</xdr:row>
      <xdr:rowOff>0</xdr:rowOff>
    </xdr:from>
    <xdr:ext cx="2286000" cy="381000"/>
    <mc:AlternateContent xmlns:mc="http://schemas.openxmlformats.org/markup-compatibility/2006" xmlns:a14="http://schemas.microsoft.com/office/drawing/2010/main">
      <mc:Choice Requires="a14">
        <xdr:sp macro="" textlink="">
          <xdr:nvSpPr>
            <xdr:cNvPr id="12057" name="TextBox 12056">
              <a:extLst>
                <a:ext uri="{FF2B5EF4-FFF2-40B4-BE49-F238E27FC236}">
                  <a16:creationId xmlns:a16="http://schemas.microsoft.com/office/drawing/2014/main" id="{00000000-0008-0000-0500-0000192F0000}"/>
                </a:ext>
              </a:extLst>
            </xdr:cNvPr>
            <xdr:cNvSpPr txBox="1"/>
          </xdr:nvSpPr>
          <xdr:spPr>
            <a:xfrm>
              <a:off x="381000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𝑘</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𝑘</m:t>
                            </m:r>
                          </m:e>
                          <m:sub>
                            <m:r>
                              <a:rPr lang="it-IT" sz="1100" b="0" i="1">
                                <a:solidFill>
                                  <a:schemeClr val="tx1"/>
                                </a:solidFill>
                                <a:effectLst/>
                                <a:latin typeface="Cambria Math" panose="02040503050406030204" pitchFamily="18" charset="0"/>
                                <a:ea typeface="+mn-ea"/>
                                <a:cs typeface="+mn-cs"/>
                              </a:rPr>
                              <m:t>𝑚𝑜𝑑</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12057" name="TextBox 12056">
              <a:extLst>
                <a:ext uri="{FF2B5EF4-FFF2-40B4-BE49-F238E27FC236}">
                  <a16:creationId xmlns:a16="http://schemas.microsoft.com/office/drawing/2014/main" id="{22F6472A-F4EA-4F02-9810-7F56A44541A7}"/>
                </a:ext>
              </a:extLst>
            </xdr:cNvPr>
            <xdr:cNvSpPr txBox="1"/>
          </xdr:nvSpPr>
          <xdr:spPr>
            <a:xfrm>
              <a:off x="381000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𝑅_𝑑=(𝑅_𝑘⋅𝑘_𝑚𝑜𝑑)/(𝐸𝐽)_𝑒𝑓𝑓 ⋅𝑉_(𝑠,𝑑)</a:t>
              </a:r>
              <a:endParaRPr lang="it-IT">
                <a:effectLst/>
              </a:endParaRPr>
            </a:p>
          </xdr:txBody>
        </xdr:sp>
      </mc:Fallback>
    </mc:AlternateContent>
    <xdr:clientData/>
  </xdr:oneCellAnchor>
  <xdr:oneCellAnchor>
    <xdr:from>
      <xdr:col>1</xdr:col>
      <xdr:colOff>0</xdr:colOff>
      <xdr:row>371</xdr:row>
      <xdr:rowOff>1</xdr:rowOff>
    </xdr:from>
    <xdr:ext cx="2286000" cy="381000"/>
    <mc:AlternateContent xmlns:mc="http://schemas.openxmlformats.org/markup-compatibility/2006" xmlns:a14="http://schemas.microsoft.com/office/drawing/2010/main">
      <mc:Choice Requires="a14">
        <xdr:sp macro="" textlink="">
          <xdr:nvSpPr>
            <xdr:cNvPr id="14228" name="TextBox 14227">
              <a:extLst>
                <a:ext uri="{FF2B5EF4-FFF2-40B4-BE49-F238E27FC236}">
                  <a16:creationId xmlns:a16="http://schemas.microsoft.com/office/drawing/2014/main" id="{00000000-0008-0000-0500-000094370000}"/>
                </a:ext>
              </a:extLst>
            </xdr:cNvPr>
            <xdr:cNvSpPr txBox="1"/>
          </xdr:nvSpPr>
          <xdr:spPr>
            <a:xfrm>
              <a:off x="95250" y="7960995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1</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14228" name="TextBox 14227">
              <a:extLst>
                <a:ext uri="{FF2B5EF4-FFF2-40B4-BE49-F238E27FC236}">
                  <a16:creationId xmlns:a16="http://schemas.microsoft.com/office/drawing/2014/main" id="{6F1D554F-E669-43D2-9693-4C2357FD5761}"/>
                </a:ext>
              </a:extLst>
            </xdr:cNvPr>
            <xdr:cNvSpPr txBox="1"/>
          </xdr:nvSpPr>
          <xdr:spPr>
            <a:xfrm>
              <a:off x="95250" y="79609951"/>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𝑁_(1,𝑑)=(𝛾_1 𝐸_1 𝐴_1 𝑎_1)/(𝐸𝐽)_𝑒𝑓𝑓   𝑀_(𝑠,𝑑)</a:t>
              </a:r>
              <a:endParaRPr lang="it-IT" sz="1100"/>
            </a:p>
          </xdr:txBody>
        </xdr:sp>
      </mc:Fallback>
    </mc:AlternateContent>
    <xdr:clientData/>
  </xdr:oneCellAnchor>
  <xdr:oneCellAnchor>
    <xdr:from>
      <xdr:col>1</xdr:col>
      <xdr:colOff>0</xdr:colOff>
      <xdr:row>374</xdr:row>
      <xdr:rowOff>1</xdr:rowOff>
    </xdr:from>
    <xdr:ext cx="2286000" cy="381000"/>
    <mc:AlternateContent xmlns:mc="http://schemas.openxmlformats.org/markup-compatibility/2006" xmlns:a14="http://schemas.microsoft.com/office/drawing/2010/main">
      <mc:Choice Requires="a14">
        <xdr:sp macro="" textlink="">
          <xdr:nvSpPr>
            <xdr:cNvPr id="14229" name="TextBox 14228">
              <a:extLst>
                <a:ext uri="{FF2B5EF4-FFF2-40B4-BE49-F238E27FC236}">
                  <a16:creationId xmlns:a16="http://schemas.microsoft.com/office/drawing/2014/main" id="{00000000-0008-0000-0500-000095370000}"/>
                </a:ext>
              </a:extLst>
            </xdr:cNvPr>
            <xdr:cNvSpPr txBox="1"/>
          </xdr:nvSpPr>
          <xdr:spPr>
            <a:xfrm>
              <a:off x="9525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14229" name="TextBox 14228">
              <a:extLst>
                <a:ext uri="{FF2B5EF4-FFF2-40B4-BE49-F238E27FC236}">
                  <a16:creationId xmlns:a16="http://schemas.microsoft.com/office/drawing/2014/main" id="{C7CF451A-686B-4140-8878-0ED3AB19AB68}"/>
                </a:ext>
              </a:extLst>
            </xdr:cNvPr>
            <xdr:cNvSpPr txBox="1"/>
          </xdr:nvSpPr>
          <xdr:spPr>
            <a:xfrm>
              <a:off x="9525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𝑀_(1,𝑑)=(𝐸_1 𝐽_1)/(𝐸𝐽)_𝑒𝑓𝑓   𝑀_(𝑠,𝑑)</a:t>
              </a:r>
              <a:endParaRPr lang="it-IT" sz="1100"/>
            </a:p>
          </xdr:txBody>
        </xdr:sp>
      </mc:Fallback>
    </mc:AlternateContent>
    <xdr:clientData/>
  </xdr:oneCellAnchor>
  <xdr:oneCellAnchor>
    <xdr:from>
      <xdr:col>2</xdr:col>
      <xdr:colOff>0</xdr:colOff>
      <xdr:row>376</xdr:row>
      <xdr:rowOff>0</xdr:rowOff>
    </xdr:from>
    <xdr:ext cx="1143000" cy="381000"/>
    <mc:AlternateContent xmlns:mc="http://schemas.openxmlformats.org/markup-compatibility/2006" xmlns:a14="http://schemas.microsoft.com/office/drawing/2010/main">
      <mc:Choice Requires="a14">
        <xdr:sp macro="" textlink="">
          <xdr:nvSpPr>
            <xdr:cNvPr id="14230" name="TextBox 14229">
              <a:extLst>
                <a:ext uri="{FF2B5EF4-FFF2-40B4-BE49-F238E27FC236}">
                  <a16:creationId xmlns:a16="http://schemas.microsoft.com/office/drawing/2014/main" id="{00000000-0008-0000-0500-000096370000}"/>
                </a:ext>
              </a:extLst>
            </xdr:cNvPr>
            <xdr:cNvSpPr txBox="1"/>
          </xdr:nvSpPr>
          <xdr:spPr>
            <a:xfrm>
              <a:off x="123825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r>
                          <a:rPr lang="it-IT" sz="1100" b="0" i="1">
                            <a:latin typeface="Cambria Math" panose="02040503050406030204" pitchFamily="18" charset="0"/>
                          </a:rPr>
                          <m:t>𝑁</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1,</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den>
                    </m:f>
                  </m:oMath>
                </m:oMathPara>
              </a14:m>
              <a:endParaRPr lang="it-IT" sz="1100"/>
            </a:p>
          </xdr:txBody>
        </xdr:sp>
      </mc:Choice>
      <mc:Fallback xmlns="">
        <xdr:sp macro="" textlink="">
          <xdr:nvSpPr>
            <xdr:cNvPr id="14230" name="TextBox 14229">
              <a:extLst>
                <a:ext uri="{FF2B5EF4-FFF2-40B4-BE49-F238E27FC236}">
                  <a16:creationId xmlns:a16="http://schemas.microsoft.com/office/drawing/2014/main" id="{9118748F-E402-4A84-9FD2-3D29916257F7}"/>
                </a:ext>
              </a:extLst>
            </xdr:cNvPr>
            <xdr:cNvSpPr txBox="1"/>
          </xdr:nvSpPr>
          <xdr:spPr>
            <a:xfrm>
              <a:off x="123825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𝜎_(1,𝑁)=𝑁_(1,𝑑)/𝐴_1 </a:t>
              </a:r>
              <a:endParaRPr lang="it-IT" sz="1100"/>
            </a:p>
          </xdr:txBody>
        </xdr:sp>
      </mc:Fallback>
    </mc:AlternateContent>
    <xdr:clientData/>
  </xdr:oneCellAnchor>
  <xdr:oneCellAnchor>
    <xdr:from>
      <xdr:col>2</xdr:col>
      <xdr:colOff>0</xdr:colOff>
      <xdr:row>377</xdr:row>
      <xdr:rowOff>0</xdr:rowOff>
    </xdr:from>
    <xdr:ext cx="1143000" cy="381000"/>
    <mc:AlternateContent xmlns:mc="http://schemas.openxmlformats.org/markup-compatibility/2006" xmlns:a14="http://schemas.microsoft.com/office/drawing/2010/main">
      <mc:Choice Requires="a14">
        <xdr:sp macro="" textlink="">
          <xdr:nvSpPr>
            <xdr:cNvPr id="14231" name="TextBox 14230">
              <a:extLst>
                <a:ext uri="{FF2B5EF4-FFF2-40B4-BE49-F238E27FC236}">
                  <a16:creationId xmlns:a16="http://schemas.microsoft.com/office/drawing/2014/main" id="{00000000-0008-0000-0500-000097370000}"/>
                </a:ext>
              </a:extLst>
            </xdr:cNvPr>
            <xdr:cNvSpPr txBox="1"/>
          </xdr:nvSpPr>
          <xdr:spPr>
            <a:xfrm>
              <a:off x="123825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r>
                          <a:rPr lang="it-IT" sz="1100" b="0" i="1">
                            <a:latin typeface="Cambria Math" panose="02040503050406030204" pitchFamily="18" charset="0"/>
                          </a:rPr>
                          <m:t>𝑀</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1,</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2 </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den>
                    </m:f>
                  </m:oMath>
                </m:oMathPara>
              </a14:m>
              <a:endParaRPr lang="it-IT" sz="1100"/>
            </a:p>
          </xdr:txBody>
        </xdr:sp>
      </mc:Choice>
      <mc:Fallback xmlns="">
        <xdr:sp macro="" textlink="">
          <xdr:nvSpPr>
            <xdr:cNvPr id="14231" name="TextBox 14230">
              <a:extLst>
                <a:ext uri="{FF2B5EF4-FFF2-40B4-BE49-F238E27FC236}">
                  <a16:creationId xmlns:a16="http://schemas.microsoft.com/office/drawing/2014/main" id="{6FA8C9C3-9320-4A2E-9531-D9FF1BB97AD9}"/>
                </a:ext>
              </a:extLst>
            </xdr:cNvPr>
            <xdr:cNvSpPr txBox="1"/>
          </xdr:nvSpPr>
          <xdr:spPr>
            <a:xfrm>
              <a:off x="123825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𝜎_(1,𝑀)=(𝑀_(1,𝑑)⋅ℎ_1)/(2 𝐽_1 )</a:t>
              </a:r>
              <a:endParaRPr lang="it-IT" sz="1100"/>
            </a:p>
          </xdr:txBody>
        </xdr:sp>
      </mc:Fallback>
    </mc:AlternateContent>
    <xdr:clientData/>
  </xdr:oneCellAnchor>
  <xdr:oneCellAnchor>
    <xdr:from>
      <xdr:col>1</xdr:col>
      <xdr:colOff>0</xdr:colOff>
      <xdr:row>380</xdr:row>
      <xdr:rowOff>0</xdr:rowOff>
    </xdr:from>
    <xdr:ext cx="2286000" cy="381000"/>
    <mc:AlternateContent xmlns:mc="http://schemas.openxmlformats.org/markup-compatibility/2006" xmlns:a14="http://schemas.microsoft.com/office/drawing/2010/main">
      <mc:Choice Requires="a14">
        <xdr:sp macro="" textlink="">
          <xdr:nvSpPr>
            <xdr:cNvPr id="14232" name="TextBox 14231">
              <a:extLst>
                <a:ext uri="{FF2B5EF4-FFF2-40B4-BE49-F238E27FC236}">
                  <a16:creationId xmlns:a16="http://schemas.microsoft.com/office/drawing/2014/main" id="{00000000-0008-0000-0500-000098370000}"/>
                </a:ext>
              </a:extLst>
            </xdr:cNvPr>
            <xdr:cNvSpPr txBox="1"/>
          </xdr:nvSpPr>
          <xdr:spPr>
            <a:xfrm>
              <a:off x="9525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1,</m:t>
                            </m:r>
                            <m:r>
                              <a:rPr lang="it-IT" sz="1100" b="0" i="1">
                                <a:latin typeface="Cambria Math" panose="02040503050406030204" pitchFamily="18" charset="0"/>
                              </a:rPr>
                              <m:t>𝑁</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𝑐</m:t>
                            </m:r>
                            <m:r>
                              <a:rPr lang="it-IT" sz="1100" b="0" i="1">
                                <a:latin typeface="Cambria Math" panose="02040503050406030204" pitchFamily="18" charset="0"/>
                              </a:rPr>
                              <m:t>,0,</m:t>
                            </m:r>
                            <m:r>
                              <a:rPr lang="it-IT" sz="1100" b="0" i="1">
                                <a:latin typeface="Cambria Math" panose="02040503050406030204" pitchFamily="18" charset="0"/>
                              </a:rPr>
                              <m:t>𝑑</m:t>
                            </m:r>
                          </m:sub>
                        </m:sSub>
                      </m:den>
                    </m:f>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𝜎</m:t>
                            </m:r>
                          </m:e>
                          <m:sub>
                            <m:r>
                              <a:rPr lang="it-IT" sz="1100" b="0" i="1">
                                <a:solidFill>
                                  <a:schemeClr val="tx1"/>
                                </a:solidFill>
                                <a:effectLst/>
                                <a:latin typeface="Cambria Math" panose="02040503050406030204" pitchFamily="18" charset="0"/>
                                <a:ea typeface="+mn-ea"/>
                                <a:cs typeface="+mn-cs"/>
                              </a:rPr>
                              <m:t>1,</m:t>
                            </m:r>
                            <m:r>
                              <a:rPr lang="it-IT" sz="1100" b="0" i="1">
                                <a:solidFill>
                                  <a:schemeClr val="tx1"/>
                                </a:solidFill>
                                <a:effectLst/>
                                <a:latin typeface="Cambria Math" panose="02040503050406030204" pitchFamily="18" charset="0"/>
                                <a:ea typeface="+mn-ea"/>
                                <a:cs typeface="+mn-cs"/>
                              </a:rPr>
                              <m:t>𝑀</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𝑚</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den>
                    </m:f>
                    <m:r>
                      <a:rPr lang="it-IT" sz="1100" b="0" i="1">
                        <a:solidFill>
                          <a:schemeClr val="tx1"/>
                        </a:solidFill>
                        <a:effectLst/>
                        <a:latin typeface="Cambria Math" panose="02040503050406030204" pitchFamily="18" charset="0"/>
                        <a:ea typeface="+mn-ea"/>
                        <a:cs typeface="+mn-cs"/>
                      </a:rPr>
                      <m:t>≤1</m:t>
                    </m:r>
                  </m:oMath>
                </m:oMathPara>
              </a14:m>
              <a:endParaRPr lang="it-IT" sz="1100"/>
            </a:p>
          </xdr:txBody>
        </xdr:sp>
      </mc:Choice>
      <mc:Fallback xmlns="">
        <xdr:sp macro="" textlink="">
          <xdr:nvSpPr>
            <xdr:cNvPr id="14232" name="TextBox 14231">
              <a:extLst>
                <a:ext uri="{FF2B5EF4-FFF2-40B4-BE49-F238E27FC236}">
                  <a16:creationId xmlns:a16="http://schemas.microsoft.com/office/drawing/2014/main" id="{8F2A0035-F44F-4668-9428-19B7615A45BE}"/>
                </a:ext>
              </a:extLst>
            </xdr:cNvPr>
            <xdr:cNvSpPr txBox="1"/>
          </xdr:nvSpPr>
          <xdr:spPr>
            <a:xfrm>
              <a:off x="9525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𝜎_(1,𝑁)/𝑓_(𝑐,0,𝑑) +</a:t>
              </a:r>
              <a:r>
                <a:rPr lang="it-IT" sz="1100" b="0" i="0">
                  <a:solidFill>
                    <a:schemeClr val="tx1"/>
                  </a:solidFill>
                  <a:effectLst/>
                  <a:latin typeface="Cambria Math" panose="02040503050406030204" pitchFamily="18" charset="0"/>
                  <a:ea typeface="+mn-ea"/>
                  <a:cs typeface="+mn-cs"/>
                </a:rPr>
                <a:t>𝜎_(1,𝑀)/𝑓_(𝑚,𝑦,𝑑) ≤1</a:t>
              </a:r>
              <a:endParaRPr lang="it-IT" sz="1100"/>
            </a:p>
          </xdr:txBody>
        </xdr:sp>
      </mc:Fallback>
    </mc:AlternateContent>
    <xdr:clientData/>
  </xdr:oneCellAnchor>
  <xdr:oneCellAnchor>
    <xdr:from>
      <xdr:col>1</xdr:col>
      <xdr:colOff>0</xdr:colOff>
      <xdr:row>383</xdr:row>
      <xdr:rowOff>0</xdr:rowOff>
    </xdr:from>
    <xdr:ext cx="2286000" cy="381000"/>
    <mc:AlternateContent xmlns:mc="http://schemas.openxmlformats.org/markup-compatibility/2006" xmlns:a14="http://schemas.microsoft.com/office/drawing/2010/main">
      <mc:Choice Requires="a14">
        <xdr:sp macro="" textlink="">
          <xdr:nvSpPr>
            <xdr:cNvPr id="14233" name="TextBox 14232">
              <a:extLst>
                <a:ext uri="{FF2B5EF4-FFF2-40B4-BE49-F238E27FC236}">
                  <a16:creationId xmlns:a16="http://schemas.microsoft.com/office/drawing/2014/main" id="{00000000-0008-0000-0500-000099370000}"/>
                </a:ext>
              </a:extLst>
            </xdr:cNvPr>
            <xdr:cNvSpPr txBox="1"/>
          </xdr:nvSpPr>
          <xdr:spPr>
            <a:xfrm>
              <a:off x="95250" y="824484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𝜏</m:t>
                        </m:r>
                      </m:e>
                      <m:sub>
                        <m:r>
                          <a:rPr lang="it-IT" sz="1100" b="0" i="1">
                            <a:latin typeface="Cambria Math" panose="02040503050406030204" pitchFamily="18" charset="0"/>
                          </a:rPr>
                          <m:t>𝑣</m:t>
                        </m:r>
                        <m:r>
                          <a:rPr lang="it-IT" sz="1100" b="0" i="1">
                            <a:latin typeface="Cambria Math" panose="02040503050406030204" pitchFamily="18" charset="0"/>
                          </a:rPr>
                          <m:t>,</m:t>
                        </m:r>
                        <m:r>
                          <a:rPr lang="it-IT" sz="1100" b="0" i="1">
                            <a:latin typeface="Cambria Math" panose="02040503050406030204" pitchFamily="18" charset="0"/>
                          </a:rPr>
                          <m:t>𝑥𝑧</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𝑆</m:t>
                            </m:r>
                          </m:e>
                          <m:sub>
                            <m:r>
                              <a:rPr lang="it-IT" sz="1100" b="0" i="1">
                                <a:latin typeface="Cambria Math" panose="02040503050406030204" pitchFamily="18" charset="0"/>
                              </a:rPr>
                              <m:t>𝑥</m:t>
                            </m:r>
                            <m:r>
                              <a:rPr lang="it-IT" sz="1100" b="0" i="1">
                                <a:latin typeface="Cambria Math" panose="02040503050406030204" pitchFamily="18" charset="0"/>
                              </a:rPr>
                              <m:t>,</m:t>
                            </m:r>
                            <m:r>
                              <a:rPr lang="it-IT" sz="1100" b="0" i="1">
                                <a:latin typeface="Cambria Math" panose="02040503050406030204" pitchFamily="18" charset="0"/>
                              </a:rPr>
                              <m:t>𝑛𝑒𝑡</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𝑉</m:t>
                            </m:r>
                          </m:e>
                          <m:sub>
                            <m:r>
                              <a:rPr lang="it-IT" sz="1100" b="0" i="1">
                                <a:latin typeface="Cambria Math" panose="02040503050406030204" pitchFamily="18" charset="0"/>
                              </a:rPr>
                              <m:t>𝑥𝑧</m:t>
                            </m:r>
                            <m:r>
                              <a:rPr lang="it-IT" sz="1100" b="0" i="1">
                                <a:latin typeface="Cambria Math" panose="02040503050406030204" pitchFamily="18" charset="0"/>
                              </a:rPr>
                              <m:t>,</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𝑥</m:t>
                            </m:r>
                            <m:r>
                              <a:rPr lang="it-IT" sz="1100" b="0" i="1">
                                <a:latin typeface="Cambria Math" panose="02040503050406030204" pitchFamily="18" charset="0"/>
                              </a:rPr>
                              <m:t>,</m:t>
                            </m:r>
                            <m:r>
                              <a:rPr lang="it-IT" sz="1100" b="0" i="1">
                                <a:latin typeface="Cambria Math" panose="02040503050406030204" pitchFamily="18" charset="0"/>
                              </a:rPr>
                              <m:t>𝑛𝑒𝑡</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𝑏</m:t>
                            </m:r>
                          </m:e>
                          <m:sub>
                            <m:r>
                              <a:rPr lang="it-IT" sz="1100" b="0" i="1">
                                <a:latin typeface="Cambria Math" panose="02040503050406030204" pitchFamily="18" charset="0"/>
                              </a:rPr>
                              <m:t>𝑥</m:t>
                            </m:r>
                          </m:sub>
                        </m:sSub>
                      </m:den>
                    </m:f>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𝑣</m:t>
                        </m:r>
                        <m:r>
                          <a:rPr lang="it-IT" sz="1100" b="0" i="1">
                            <a:latin typeface="Cambria Math" panose="02040503050406030204" pitchFamily="18" charset="0"/>
                          </a:rPr>
                          <m:t>,90,</m:t>
                        </m:r>
                        <m:r>
                          <a:rPr lang="it-IT" sz="1100" b="0" i="1">
                            <a:latin typeface="Cambria Math" panose="02040503050406030204" pitchFamily="18" charset="0"/>
                          </a:rPr>
                          <m:t>𝑦𝑙𝑎𝑦</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14233" name="TextBox 14232">
              <a:extLst>
                <a:ext uri="{FF2B5EF4-FFF2-40B4-BE49-F238E27FC236}">
                  <a16:creationId xmlns:a16="http://schemas.microsoft.com/office/drawing/2014/main" id="{83D44CED-6F0A-42B3-A4F2-9ABC06B9A022}"/>
                </a:ext>
              </a:extLst>
            </xdr:cNvPr>
            <xdr:cNvSpPr txBox="1"/>
          </xdr:nvSpPr>
          <xdr:spPr>
            <a:xfrm>
              <a:off x="95250" y="824484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𝜏_(𝑣,𝑥𝑧,𝑑)=(𝑆_(𝑥,𝑛𝑒𝑡)⋅𝑉_(𝑥𝑧,𝑑))/(𝐽_(𝑥,𝑛𝑒𝑡)⋅𝑏_𝑥 )≤𝑓_(𝑣,90,𝑦𝑙𝑎𝑦,𝑑)</a:t>
              </a:r>
              <a:endParaRPr lang="it-IT" sz="1100"/>
            </a:p>
          </xdr:txBody>
        </xdr:sp>
      </mc:Fallback>
    </mc:AlternateContent>
    <xdr:clientData/>
  </xdr:oneCellAnchor>
  <xdr:oneCellAnchor>
    <xdr:from>
      <xdr:col>1</xdr:col>
      <xdr:colOff>0</xdr:colOff>
      <xdr:row>386</xdr:row>
      <xdr:rowOff>0</xdr:rowOff>
    </xdr:from>
    <xdr:ext cx="2286000" cy="381000"/>
    <mc:AlternateContent xmlns:mc="http://schemas.openxmlformats.org/markup-compatibility/2006" xmlns:a14="http://schemas.microsoft.com/office/drawing/2010/main">
      <mc:Choice Requires="a14">
        <xdr:sp macro="" textlink="">
          <xdr:nvSpPr>
            <xdr:cNvPr id="14234" name="TextBox 14233">
              <a:extLst>
                <a:ext uri="{FF2B5EF4-FFF2-40B4-BE49-F238E27FC236}">
                  <a16:creationId xmlns:a16="http://schemas.microsoft.com/office/drawing/2014/main" id="{00000000-0008-0000-0500-00009A370000}"/>
                </a:ext>
              </a:extLst>
            </xdr:cNvPr>
            <xdr:cNvSpPr txBox="1"/>
          </xdr:nvSpPr>
          <xdr:spPr>
            <a:xfrm>
              <a:off x="95250" y="83115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𝜏</m:t>
                        </m:r>
                      </m:e>
                      <m:sub>
                        <m:r>
                          <a:rPr lang="it-IT" sz="1100" b="0" i="1">
                            <a:solidFill>
                              <a:schemeClr val="tx1"/>
                            </a:solidFill>
                            <a:effectLst/>
                            <a:latin typeface="Cambria Math" panose="02040503050406030204" pitchFamily="18" charset="0"/>
                            <a:ea typeface="+mn-ea"/>
                            <a:cs typeface="+mn-cs"/>
                          </a:rPr>
                          <m:t>𝑅𝑣</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𝑦𝑧</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𝑆</m:t>
                            </m:r>
                          </m:e>
                          <m:sub>
                            <m:r>
                              <a:rPr lang="it-IT" sz="1100" b="0" i="1">
                                <a:solidFill>
                                  <a:schemeClr val="tx1"/>
                                </a:solidFill>
                                <a:effectLst/>
                                <a:latin typeface="Cambria Math" panose="02040503050406030204" pitchFamily="18" charset="0"/>
                                <a:ea typeface="+mn-ea"/>
                                <a:cs typeface="+mn-cs"/>
                              </a:rPr>
                              <m:t>𝑅</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𝑛𝑒𝑡</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𝑦𝑧</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𝐽</m:t>
                            </m:r>
                          </m:e>
                          <m:sub>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𝑛𝑒𝑡</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𝑏</m:t>
                            </m:r>
                          </m:e>
                          <m:sub>
                            <m:r>
                              <a:rPr lang="it-IT" sz="1100" b="0" i="1">
                                <a:solidFill>
                                  <a:schemeClr val="tx1"/>
                                </a:solidFill>
                                <a:effectLst/>
                                <a:latin typeface="Cambria Math" panose="02040503050406030204" pitchFamily="18" charset="0"/>
                                <a:ea typeface="+mn-ea"/>
                                <a:cs typeface="+mn-cs"/>
                              </a:rPr>
                              <m:t>𝑦</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𝑣</m:t>
                        </m:r>
                        <m:r>
                          <a:rPr lang="it-IT" sz="1100" b="0" i="1">
                            <a:solidFill>
                              <a:schemeClr val="tx1"/>
                            </a:solidFill>
                            <a:effectLst/>
                            <a:latin typeface="Cambria Math" panose="02040503050406030204" pitchFamily="18" charset="0"/>
                            <a:ea typeface="+mn-ea"/>
                            <a:cs typeface="+mn-cs"/>
                          </a:rPr>
                          <m:t>,90,</m:t>
                        </m:r>
                        <m:r>
                          <a:rPr lang="it-IT" sz="1100" b="0" i="1">
                            <a:solidFill>
                              <a:schemeClr val="tx1"/>
                            </a:solidFill>
                            <a:effectLst/>
                            <a:latin typeface="Cambria Math" panose="02040503050406030204" pitchFamily="18" charset="0"/>
                            <a:ea typeface="+mn-ea"/>
                            <a:cs typeface="+mn-cs"/>
                          </a:rPr>
                          <m:t>𝑦𝑙𝑎𝑦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14234" name="TextBox 14233">
              <a:extLst>
                <a:ext uri="{FF2B5EF4-FFF2-40B4-BE49-F238E27FC236}">
                  <a16:creationId xmlns:a16="http://schemas.microsoft.com/office/drawing/2014/main" id="{2CC631CE-60B9-4103-A460-992AECF3952E}"/>
                </a:ext>
              </a:extLst>
            </xdr:cNvPr>
            <xdr:cNvSpPr txBox="1"/>
          </xdr:nvSpPr>
          <xdr:spPr>
            <a:xfrm>
              <a:off x="95250" y="831151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𝜏_(𝑅𝑣,𝑦𝑧,𝑑)=(𝑆_(𝑅,𝑦,𝑛𝑒𝑡)⋅𝑉_(𝑦𝑧,𝑑))/(𝐽_(𝑦,𝑛𝑒𝑡)⋅𝑏_𝑦 )≤𝑓_(𝑣,90,𝑦𝑙𝑎𝑦,𝑑)</a:t>
              </a:r>
              <a:endParaRPr lang="it-IT">
                <a:effectLst/>
              </a:endParaRPr>
            </a:p>
          </xdr:txBody>
        </xdr:sp>
      </mc:Fallback>
    </mc:AlternateContent>
    <xdr:clientData/>
  </xdr:oneCellAnchor>
  <xdr:oneCellAnchor>
    <xdr:from>
      <xdr:col>7</xdr:col>
      <xdr:colOff>0</xdr:colOff>
      <xdr:row>371</xdr:row>
      <xdr:rowOff>0</xdr:rowOff>
    </xdr:from>
    <xdr:ext cx="2286000" cy="381000"/>
    <mc:AlternateContent xmlns:mc="http://schemas.openxmlformats.org/markup-compatibility/2006" xmlns:a14="http://schemas.microsoft.com/office/drawing/2010/main">
      <mc:Choice Requires="a14">
        <xdr:sp macro="" textlink="">
          <xdr:nvSpPr>
            <xdr:cNvPr id="14235" name="TextBox 14234">
              <a:extLst>
                <a:ext uri="{FF2B5EF4-FFF2-40B4-BE49-F238E27FC236}">
                  <a16:creationId xmlns:a16="http://schemas.microsoft.com/office/drawing/2014/main" id="{00000000-0008-0000-0500-00009B370000}"/>
                </a:ext>
              </a:extLst>
            </xdr:cNvPr>
            <xdr:cNvSpPr txBox="1"/>
          </xdr:nvSpPr>
          <xdr:spPr>
            <a:xfrm>
              <a:off x="3810000" y="796099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14235" name="TextBox 14234">
              <a:extLst>
                <a:ext uri="{FF2B5EF4-FFF2-40B4-BE49-F238E27FC236}">
                  <a16:creationId xmlns:a16="http://schemas.microsoft.com/office/drawing/2014/main" id="{921E11EE-4B24-4484-9B41-94793693A508}"/>
                </a:ext>
              </a:extLst>
            </xdr:cNvPr>
            <xdr:cNvSpPr txBox="1"/>
          </xdr:nvSpPr>
          <xdr:spPr>
            <a:xfrm>
              <a:off x="3810000" y="796099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𝑁_(2,𝑑)=(𝛾_2 𝐸_2 𝐴_2 𝑎_2)/(𝐸𝐽)_𝑒𝑓𝑓   𝑀_(𝑠,𝑑)</a:t>
              </a:r>
              <a:endParaRPr lang="it-IT" sz="1100"/>
            </a:p>
          </xdr:txBody>
        </xdr:sp>
      </mc:Fallback>
    </mc:AlternateContent>
    <xdr:clientData/>
  </xdr:oneCellAnchor>
  <xdr:oneCellAnchor>
    <xdr:from>
      <xdr:col>7</xdr:col>
      <xdr:colOff>0</xdr:colOff>
      <xdr:row>374</xdr:row>
      <xdr:rowOff>1</xdr:rowOff>
    </xdr:from>
    <xdr:ext cx="2286000" cy="381000"/>
    <mc:AlternateContent xmlns:mc="http://schemas.openxmlformats.org/markup-compatibility/2006" xmlns:a14="http://schemas.microsoft.com/office/drawing/2010/main">
      <mc:Choice Requires="a14">
        <xdr:sp macro="" textlink="">
          <xdr:nvSpPr>
            <xdr:cNvPr id="14236" name="TextBox 14235">
              <a:extLst>
                <a:ext uri="{FF2B5EF4-FFF2-40B4-BE49-F238E27FC236}">
                  <a16:creationId xmlns:a16="http://schemas.microsoft.com/office/drawing/2014/main" id="{00000000-0008-0000-0500-00009C370000}"/>
                </a:ext>
              </a:extLst>
            </xdr:cNvPr>
            <xdr:cNvSpPr txBox="1"/>
          </xdr:nvSpPr>
          <xdr:spPr>
            <a:xfrm>
              <a:off x="381000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den>
                    </m:f>
                    <m:r>
                      <a:rPr lang="it-IT" sz="1100" b="0" i="1">
                        <a:latin typeface="Cambria Math" panose="02040503050406030204" pitchFamily="18" charset="0"/>
                      </a:rPr>
                      <m:t> </m:t>
                    </m:r>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𝑠</m:t>
                        </m:r>
                        <m:r>
                          <a:rPr lang="it-IT" sz="1100" b="0" i="1">
                            <a:latin typeface="Cambria Math" panose="02040503050406030204" pitchFamily="18" charset="0"/>
                          </a:rPr>
                          <m:t>,</m:t>
                        </m:r>
                        <m:r>
                          <a:rPr lang="it-IT" sz="1100" b="0" i="1">
                            <a:latin typeface="Cambria Math" panose="02040503050406030204" pitchFamily="18" charset="0"/>
                          </a:rPr>
                          <m:t>𝑑</m:t>
                        </m:r>
                      </m:sub>
                    </m:sSub>
                  </m:oMath>
                </m:oMathPara>
              </a14:m>
              <a:endParaRPr lang="it-IT" sz="1100"/>
            </a:p>
          </xdr:txBody>
        </xdr:sp>
      </mc:Choice>
      <mc:Fallback xmlns="">
        <xdr:sp macro="" textlink="">
          <xdr:nvSpPr>
            <xdr:cNvPr id="14236" name="TextBox 14235">
              <a:extLst>
                <a:ext uri="{FF2B5EF4-FFF2-40B4-BE49-F238E27FC236}">
                  <a16:creationId xmlns:a16="http://schemas.microsoft.com/office/drawing/2014/main" id="{EE5E4F2F-9D52-4516-9F6E-16E769F54CCB}"/>
                </a:ext>
              </a:extLst>
            </xdr:cNvPr>
            <xdr:cNvSpPr txBox="1"/>
          </xdr:nvSpPr>
          <xdr:spPr>
            <a:xfrm>
              <a:off x="3810000" y="80267176"/>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𝑀_(2,𝑑)=(𝐸_2 𝐽_2)/(𝐸𝐽)_𝑒𝑓𝑓   𝑀_(𝑠,𝑑)</a:t>
              </a:r>
              <a:endParaRPr lang="it-IT" sz="1100"/>
            </a:p>
          </xdr:txBody>
        </xdr:sp>
      </mc:Fallback>
    </mc:AlternateContent>
    <xdr:clientData/>
  </xdr:oneCellAnchor>
  <xdr:oneCellAnchor>
    <xdr:from>
      <xdr:col>8</xdr:col>
      <xdr:colOff>0</xdr:colOff>
      <xdr:row>376</xdr:row>
      <xdr:rowOff>0</xdr:rowOff>
    </xdr:from>
    <xdr:ext cx="1143000" cy="381000"/>
    <mc:AlternateContent xmlns:mc="http://schemas.openxmlformats.org/markup-compatibility/2006" xmlns:a14="http://schemas.microsoft.com/office/drawing/2010/main">
      <mc:Choice Requires="a14">
        <xdr:sp macro="" textlink="">
          <xdr:nvSpPr>
            <xdr:cNvPr id="14237" name="TextBox 14236">
              <a:extLst>
                <a:ext uri="{FF2B5EF4-FFF2-40B4-BE49-F238E27FC236}">
                  <a16:creationId xmlns:a16="http://schemas.microsoft.com/office/drawing/2014/main" id="{00000000-0008-0000-0500-00009D370000}"/>
                </a:ext>
              </a:extLst>
            </xdr:cNvPr>
            <xdr:cNvSpPr txBox="1"/>
          </xdr:nvSpPr>
          <xdr:spPr>
            <a:xfrm>
              <a:off x="495300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𝑁</m:t>
                            </m:r>
                          </m:e>
                          <m:sub>
                            <m:r>
                              <a:rPr lang="it-IT" sz="1100" b="0" i="1">
                                <a:latin typeface="Cambria Math" panose="02040503050406030204" pitchFamily="18" charset="0"/>
                              </a:rPr>
                              <m:t>2,</m:t>
                            </m:r>
                            <m:r>
                              <a:rPr lang="it-IT" sz="1100" b="0" i="1">
                                <a:latin typeface="Cambria Math" panose="02040503050406030204" pitchFamily="18" charset="0"/>
                              </a:rPr>
                              <m:t>𝑑</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den>
                    </m:f>
                  </m:oMath>
                </m:oMathPara>
              </a14:m>
              <a:endParaRPr lang="it-IT" sz="1100"/>
            </a:p>
          </xdr:txBody>
        </xdr:sp>
      </mc:Choice>
      <mc:Fallback xmlns="">
        <xdr:sp macro="" textlink="">
          <xdr:nvSpPr>
            <xdr:cNvPr id="14237" name="TextBox 14236">
              <a:extLst>
                <a:ext uri="{FF2B5EF4-FFF2-40B4-BE49-F238E27FC236}">
                  <a16:creationId xmlns:a16="http://schemas.microsoft.com/office/drawing/2014/main" id="{0334EF70-5BEF-466B-8A32-32F4AA6C5877}"/>
                </a:ext>
              </a:extLst>
            </xdr:cNvPr>
            <xdr:cNvSpPr txBox="1"/>
          </xdr:nvSpPr>
          <xdr:spPr>
            <a:xfrm>
              <a:off x="4953000" y="80743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𝜎_2=𝑁_(2,𝑑)/𝐴_2 </a:t>
              </a:r>
              <a:endParaRPr lang="it-IT" sz="1100"/>
            </a:p>
          </xdr:txBody>
        </xdr:sp>
      </mc:Fallback>
    </mc:AlternateContent>
    <xdr:clientData/>
  </xdr:oneCellAnchor>
  <xdr:oneCellAnchor>
    <xdr:from>
      <xdr:col>8</xdr:col>
      <xdr:colOff>0</xdr:colOff>
      <xdr:row>377</xdr:row>
      <xdr:rowOff>0</xdr:rowOff>
    </xdr:from>
    <xdr:ext cx="1143000" cy="381000"/>
    <mc:AlternateContent xmlns:mc="http://schemas.openxmlformats.org/markup-compatibility/2006" xmlns:a14="http://schemas.microsoft.com/office/drawing/2010/main">
      <mc:Choice Requires="a14">
        <xdr:sp macro="" textlink="">
          <xdr:nvSpPr>
            <xdr:cNvPr id="14238" name="TextBox 14237">
              <a:extLst>
                <a:ext uri="{FF2B5EF4-FFF2-40B4-BE49-F238E27FC236}">
                  <a16:creationId xmlns:a16="http://schemas.microsoft.com/office/drawing/2014/main" id="{00000000-0008-0000-0500-00009E370000}"/>
                </a:ext>
              </a:extLst>
            </xdr:cNvPr>
            <xdr:cNvSpPr txBox="1"/>
          </xdr:nvSpPr>
          <xdr:spPr>
            <a:xfrm>
              <a:off x="495300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r>
                          <a:rPr lang="it-IT" sz="1100" b="0" i="1">
                            <a:latin typeface="Cambria Math" panose="02040503050406030204" pitchFamily="18" charset="0"/>
                          </a:rPr>
                          <m:t>𝑚𝑜𝑚</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2,</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den>
                    </m:f>
                  </m:oMath>
                </m:oMathPara>
              </a14:m>
              <a:endParaRPr lang="it-IT" sz="1100"/>
            </a:p>
          </xdr:txBody>
        </xdr:sp>
      </mc:Choice>
      <mc:Fallback xmlns="">
        <xdr:sp macro="" textlink="">
          <xdr:nvSpPr>
            <xdr:cNvPr id="14238" name="TextBox 14237">
              <a:extLst>
                <a:ext uri="{FF2B5EF4-FFF2-40B4-BE49-F238E27FC236}">
                  <a16:creationId xmlns:a16="http://schemas.microsoft.com/office/drawing/2014/main" id="{1F7F483B-3A75-48E4-ADA4-91B8F085F999}"/>
                </a:ext>
              </a:extLst>
            </xdr:cNvPr>
            <xdr:cNvSpPr txBox="1"/>
          </xdr:nvSpPr>
          <xdr:spPr>
            <a:xfrm>
              <a:off x="4953000" y="81124425"/>
              <a:ext cx="1143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𝜎_(2,𝑚𝑜𝑚)=(𝑀_(2,𝑑)⋅ℎ_2)/𝐽_2 </a:t>
              </a:r>
              <a:endParaRPr lang="it-IT" sz="1100"/>
            </a:p>
          </xdr:txBody>
        </xdr:sp>
      </mc:Fallback>
    </mc:AlternateContent>
    <xdr:clientData/>
  </xdr:oneCellAnchor>
  <xdr:oneCellAnchor>
    <xdr:from>
      <xdr:col>7</xdr:col>
      <xdr:colOff>0</xdr:colOff>
      <xdr:row>380</xdr:row>
      <xdr:rowOff>0</xdr:rowOff>
    </xdr:from>
    <xdr:ext cx="2286000" cy="381000"/>
    <mc:AlternateContent xmlns:mc="http://schemas.openxmlformats.org/markup-compatibility/2006" xmlns:a14="http://schemas.microsoft.com/office/drawing/2010/main">
      <mc:Choice Requires="a14">
        <xdr:sp macro="" textlink="">
          <xdr:nvSpPr>
            <xdr:cNvPr id="14239" name="TextBox 14238">
              <a:extLst>
                <a:ext uri="{FF2B5EF4-FFF2-40B4-BE49-F238E27FC236}">
                  <a16:creationId xmlns:a16="http://schemas.microsoft.com/office/drawing/2014/main" id="{00000000-0008-0000-0500-00009F370000}"/>
                </a:ext>
              </a:extLst>
            </xdr:cNvPr>
            <xdr:cNvSpPr txBox="1"/>
          </xdr:nvSpPr>
          <xdr:spPr>
            <a:xfrm>
              <a:off x="381000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𝜎</m:t>
                            </m:r>
                          </m:e>
                          <m:sub>
                            <m:r>
                              <a:rPr lang="it-IT" sz="1100" b="0" i="1">
                                <a:latin typeface="Cambria Math" panose="02040503050406030204" pitchFamily="18" charset="0"/>
                              </a:rPr>
                              <m:t>2</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𝑓</m:t>
                            </m:r>
                          </m:e>
                          <m:sub>
                            <m:r>
                              <a:rPr lang="it-IT" sz="1100" b="0" i="1">
                                <a:latin typeface="Cambria Math" panose="02040503050406030204" pitchFamily="18" charset="0"/>
                              </a:rPr>
                              <m:t>𝑡</m:t>
                            </m:r>
                            <m:r>
                              <a:rPr lang="it-IT" sz="1100" b="0" i="1">
                                <a:latin typeface="Cambria Math" panose="02040503050406030204" pitchFamily="18" charset="0"/>
                              </a:rPr>
                              <m:t>,0,</m:t>
                            </m:r>
                            <m:r>
                              <a:rPr lang="it-IT" sz="1100" b="0" i="1">
                                <a:latin typeface="Cambria Math" panose="02040503050406030204" pitchFamily="18" charset="0"/>
                              </a:rPr>
                              <m:t>𝑑</m:t>
                            </m:r>
                          </m:sub>
                        </m:sSub>
                      </m:den>
                    </m:f>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𝜎</m:t>
                            </m:r>
                          </m:e>
                          <m:sub>
                            <m:r>
                              <a:rPr lang="it-IT" sz="1100" b="0" i="1">
                                <a:solidFill>
                                  <a:schemeClr val="tx1"/>
                                </a:solidFill>
                                <a:effectLst/>
                                <a:latin typeface="Cambria Math" panose="02040503050406030204" pitchFamily="18" charset="0"/>
                                <a:ea typeface="+mn-ea"/>
                                <a:cs typeface="+mn-cs"/>
                              </a:rPr>
                              <m:t>2,</m:t>
                            </m:r>
                            <m:r>
                              <a:rPr lang="it-IT" sz="1100" b="0" i="1">
                                <a:solidFill>
                                  <a:schemeClr val="tx1"/>
                                </a:solidFill>
                                <a:effectLst/>
                                <a:latin typeface="Cambria Math" panose="02040503050406030204" pitchFamily="18" charset="0"/>
                                <a:ea typeface="+mn-ea"/>
                                <a:cs typeface="+mn-cs"/>
                              </a:rPr>
                              <m:t>𝑚𝑜𝑚</m:t>
                            </m:r>
                          </m:sub>
                        </m:sSub>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𝑓</m:t>
                            </m:r>
                          </m:e>
                          <m:sub>
                            <m:r>
                              <a:rPr lang="it-IT" sz="1100" b="0" i="1">
                                <a:solidFill>
                                  <a:schemeClr val="tx1"/>
                                </a:solidFill>
                                <a:effectLst/>
                                <a:latin typeface="Cambria Math" panose="02040503050406030204" pitchFamily="18" charset="0"/>
                                <a:ea typeface="+mn-ea"/>
                                <a:cs typeface="+mn-cs"/>
                              </a:rPr>
                              <m:t>𝑚</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𝑦</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den>
                    </m:f>
                    <m:r>
                      <a:rPr lang="it-IT" sz="1100" b="0" i="1">
                        <a:solidFill>
                          <a:schemeClr val="tx1"/>
                        </a:solidFill>
                        <a:effectLst/>
                        <a:latin typeface="Cambria Math" panose="02040503050406030204" pitchFamily="18" charset="0"/>
                        <a:ea typeface="+mn-ea"/>
                        <a:cs typeface="+mn-cs"/>
                      </a:rPr>
                      <m:t>≤1</m:t>
                    </m:r>
                  </m:oMath>
                </m:oMathPara>
              </a14:m>
              <a:endParaRPr lang="it-IT" sz="1100"/>
            </a:p>
          </xdr:txBody>
        </xdr:sp>
      </mc:Choice>
      <mc:Fallback xmlns="">
        <xdr:sp macro="" textlink="">
          <xdr:nvSpPr>
            <xdr:cNvPr id="14239" name="TextBox 14238">
              <a:extLst>
                <a:ext uri="{FF2B5EF4-FFF2-40B4-BE49-F238E27FC236}">
                  <a16:creationId xmlns:a16="http://schemas.microsoft.com/office/drawing/2014/main" id="{6A586053-5AE2-4524-AFD4-77AC32B5EF9E}"/>
                </a:ext>
              </a:extLst>
            </xdr:cNvPr>
            <xdr:cNvSpPr txBox="1"/>
          </xdr:nvSpPr>
          <xdr:spPr>
            <a:xfrm>
              <a:off x="3810000" y="817816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𝜎_2/𝑓_(𝑡,0,𝑑) +</a:t>
              </a:r>
              <a:r>
                <a:rPr lang="it-IT" sz="1100" b="0" i="0">
                  <a:solidFill>
                    <a:schemeClr val="tx1"/>
                  </a:solidFill>
                  <a:effectLst/>
                  <a:latin typeface="Cambria Math" panose="02040503050406030204" pitchFamily="18" charset="0"/>
                  <a:ea typeface="+mn-ea"/>
                  <a:cs typeface="+mn-cs"/>
                </a:rPr>
                <a:t>𝜎_(2,𝑚𝑜𝑚)/𝑓_(𝑚,𝑦,𝑑) ≤1</a:t>
              </a:r>
              <a:endParaRPr lang="it-IT" sz="1100"/>
            </a:p>
          </xdr:txBody>
        </xdr:sp>
      </mc:Fallback>
    </mc:AlternateContent>
    <xdr:clientData/>
  </xdr:oneCellAnchor>
  <xdr:oneCellAnchor>
    <xdr:from>
      <xdr:col>7</xdr:col>
      <xdr:colOff>0</xdr:colOff>
      <xdr:row>382</xdr:row>
      <xdr:rowOff>190499</xdr:rowOff>
    </xdr:from>
    <xdr:ext cx="2286000" cy="1143001"/>
    <mc:AlternateContent xmlns:mc="http://schemas.openxmlformats.org/markup-compatibility/2006" xmlns:a14="http://schemas.microsoft.com/office/drawing/2010/main">
      <mc:Choice Requires="a14">
        <xdr:sp macro="" textlink="">
          <xdr:nvSpPr>
            <xdr:cNvPr id="14240" name="TextBox 14239">
              <a:extLst>
                <a:ext uri="{FF2B5EF4-FFF2-40B4-BE49-F238E27FC236}">
                  <a16:creationId xmlns:a16="http://schemas.microsoft.com/office/drawing/2014/main" id="{00000000-0008-0000-0500-0000A0370000}"/>
                </a:ext>
              </a:extLst>
            </xdr:cNvPr>
            <xdr:cNvSpPr txBox="1"/>
          </xdr:nvSpPr>
          <xdr:spPr>
            <a:xfrm>
              <a:off x="3810000" y="82448399"/>
              <a:ext cx="2286000" cy="1143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sSub>
                      <m:sSubPr>
                        <m:ctrlPr>
                          <a:rPr lang="it-IT" sz="1000" b="0" i="1">
                            <a:latin typeface="Cambria Math" panose="02040503050406030204" pitchFamily="18" charset="0"/>
                          </a:rPr>
                        </m:ctrlPr>
                      </m:sSubPr>
                      <m:e>
                        <m:r>
                          <a:rPr lang="it-IT" sz="1000" b="0" i="1">
                            <a:latin typeface="Cambria Math" panose="02040503050406030204" pitchFamily="18" charset="0"/>
                          </a:rPr>
                          <m:t>𝜏</m:t>
                        </m:r>
                      </m:e>
                      <m:sub>
                        <m:r>
                          <a:rPr lang="it-IT" sz="1000" b="0" i="1">
                            <a:latin typeface="Cambria Math" panose="02040503050406030204" pitchFamily="18" charset="0"/>
                          </a:rPr>
                          <m:t>2,</m:t>
                        </m:r>
                        <m:r>
                          <a:rPr lang="it-IT" sz="1000" b="0" i="1">
                            <a:latin typeface="Cambria Math" panose="02040503050406030204" pitchFamily="18" charset="0"/>
                          </a:rPr>
                          <m:t>𝑚𝑎𝑥</m:t>
                        </m:r>
                      </m:sub>
                    </m:sSub>
                    <m:r>
                      <a:rPr lang="it-IT" sz="1000" b="0" i="1">
                        <a:latin typeface="Cambria Math" panose="02040503050406030204" pitchFamily="18" charset="0"/>
                      </a:rPr>
                      <m:t>=</m:t>
                    </m:r>
                  </m:oMath>
                  <m:oMath xmlns:m="http://schemas.openxmlformats.org/officeDocument/2006/math">
                    <m:r>
                      <a:rPr lang="it-IT" sz="1000" b="0" i="1">
                        <a:latin typeface="Cambria Math" panose="02040503050406030204" pitchFamily="18" charset="0"/>
                      </a:rPr>
                      <m:t> </m:t>
                    </m:r>
                    <m:d>
                      <m:dPr>
                        <m:begChr m:val="{"/>
                        <m:endChr m:val=""/>
                        <m:ctrlPr>
                          <a:rPr lang="it-IT" sz="1000" b="0" i="1">
                            <a:latin typeface="Cambria Math" panose="02040503050406030204" pitchFamily="18" charset="0"/>
                          </a:rPr>
                        </m:ctrlPr>
                      </m:dPr>
                      <m:e>
                        <m:eqArr>
                          <m:eqArrPr>
                            <m:ctrlPr>
                              <a:rPr lang="it-IT" sz="1000" b="0" i="1">
                                <a:latin typeface="Cambria Math" panose="02040503050406030204" pitchFamily="18" charset="0"/>
                              </a:rPr>
                            </m:ctrlPr>
                          </m:eqArrPr>
                          <m:e>
                            <m:f>
                              <m:fPr>
                                <m:ctrlPr>
                                  <a:rPr lang="it-IT" sz="1000" b="0" i="1">
                                    <a:latin typeface="Cambria Math" panose="02040503050406030204" pitchFamily="18" charset="0"/>
                                  </a:rPr>
                                </m:ctrlPr>
                              </m:fPr>
                              <m:num>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sSub>
                                  <m:sSubPr>
                                    <m:ctrlPr>
                                      <a:rPr lang="it-IT" sz="1000" b="0" i="1">
                                        <a:latin typeface="Cambria Math" panose="02040503050406030204" pitchFamily="18" charset="0"/>
                                      </a:rPr>
                                    </m:ctrlPr>
                                  </m:sSubPr>
                                  <m:e>
                                    <m:r>
                                      <a:rPr lang="it-IT" sz="1000" b="0" i="1">
                                        <a:latin typeface="Cambria Math" panose="02040503050406030204" pitchFamily="18" charset="0"/>
                                      </a:rPr>
                                      <m:t>𝐸</m:t>
                                    </m:r>
                                  </m:e>
                                  <m:sub>
                                    <m:r>
                                      <a:rPr lang="it-IT" sz="1000" b="0" i="1">
                                        <a:latin typeface="Cambria Math" panose="02040503050406030204" pitchFamily="18" charset="0"/>
                                      </a:rPr>
                                      <m:t>2</m:t>
                                    </m:r>
                                  </m:sub>
                                </m:sSub>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num>
                              <m:den>
                                <m:sSub>
                                  <m:sSubPr>
                                    <m:ctrlPr>
                                      <a:rPr lang="it-IT" sz="1000" b="0" i="1">
                                        <a:latin typeface="Cambria Math" panose="02040503050406030204" pitchFamily="18" charset="0"/>
                                      </a:rPr>
                                    </m:ctrlPr>
                                  </m:sSubPr>
                                  <m:e>
                                    <m:d>
                                      <m:dPr>
                                        <m:ctrlPr>
                                          <a:rPr lang="it-IT" sz="1000" b="0" i="1">
                                            <a:latin typeface="Cambria Math" panose="02040503050406030204" pitchFamily="18" charset="0"/>
                                          </a:rPr>
                                        </m:ctrlPr>
                                      </m:dPr>
                                      <m:e>
                                        <m:r>
                                          <a:rPr lang="it-IT" sz="1000" b="0" i="1">
                                            <a:latin typeface="Cambria Math" panose="02040503050406030204" pitchFamily="18" charset="0"/>
                                          </a:rPr>
                                          <m:t>𝐸𝐽</m:t>
                                        </m:r>
                                      </m:e>
                                    </m:d>
                                  </m:e>
                                  <m:sub>
                                    <m:r>
                                      <a:rPr lang="it-IT" sz="1000" b="0" i="1">
                                        <a:latin typeface="Cambria Math" panose="02040503050406030204" pitchFamily="18" charset="0"/>
                                      </a:rPr>
                                      <m:t>𝑒𝑓𝑓</m:t>
                                    </m:r>
                                  </m:sub>
                                </m:sSub>
                              </m:den>
                            </m:f>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𝑉</m:t>
                                </m:r>
                              </m:e>
                              <m:sub>
                                <m:r>
                                  <a:rPr lang="it-IT" sz="1000" b="0" i="1">
                                    <a:latin typeface="Cambria Math" panose="02040503050406030204" pitchFamily="18" charset="0"/>
                                  </a:rPr>
                                  <m:t>𝑠</m:t>
                                </m:r>
                                <m:r>
                                  <a:rPr lang="it-IT" sz="1000" b="0" i="1">
                                    <a:latin typeface="Cambria Math" panose="02040503050406030204" pitchFamily="18" charset="0"/>
                                  </a:rPr>
                                  <m:t>,</m:t>
                                </m:r>
                                <m:r>
                                  <a:rPr lang="it-IT" sz="1000" b="0" i="1">
                                    <a:latin typeface="Cambria Math" panose="02040503050406030204" pitchFamily="18" charset="0"/>
                                  </a:rPr>
                                  <m:t>𝑑</m:t>
                                </m:r>
                              </m:sub>
                            </m:sSub>
                            <m:r>
                              <a:rPr lang="it-IT" sz="1000" b="0" i="1">
                                <a:latin typeface="Cambria Math" panose="02040503050406030204" pitchFamily="18" charset="0"/>
                              </a:rPr>
                              <m:t>      ∀</m:t>
                            </m:r>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r>
                              <a:rPr lang="it-IT" sz="1000" b="0" i="1">
                                <a:latin typeface="Cambria Math" panose="02040503050406030204" pitchFamily="18" charset="0"/>
                              </a:rPr>
                              <m:t>/2</m:t>
                            </m:r>
                          </m:e>
                          <m:e>
                            <m:f>
                              <m:fPr>
                                <m:ctrlPr>
                                  <a:rPr lang="it-IT" sz="1000" b="0" i="1">
                                    <a:latin typeface="Cambria Math" panose="02040503050406030204" pitchFamily="18" charset="0"/>
                                  </a:rPr>
                                </m:ctrlPr>
                              </m:fPr>
                              <m:num>
                                <m:r>
                                  <a:rPr lang="it-IT" sz="1000" b="0" i="1">
                                    <a:latin typeface="Cambria Math" panose="02040503050406030204" pitchFamily="18" charset="0"/>
                                  </a:rPr>
                                  <m:t>0,5⋅</m:t>
                                </m:r>
                                <m:sSub>
                                  <m:sSubPr>
                                    <m:ctrlPr>
                                      <a:rPr lang="it-IT" sz="1000" b="0" i="1">
                                        <a:latin typeface="Cambria Math" panose="02040503050406030204" pitchFamily="18" charset="0"/>
                                      </a:rPr>
                                    </m:ctrlPr>
                                  </m:sSubPr>
                                  <m:e>
                                    <m:r>
                                      <a:rPr lang="it-IT" sz="1000" b="0" i="1">
                                        <a:latin typeface="Cambria Math" panose="02040503050406030204" pitchFamily="18" charset="0"/>
                                      </a:rPr>
                                      <m:t>𝐸</m:t>
                                    </m:r>
                                  </m:e>
                                  <m:sub>
                                    <m:r>
                                      <a:rPr lang="it-IT" sz="1000" b="0" i="1">
                                        <a:latin typeface="Cambria Math" panose="02040503050406030204" pitchFamily="18" charset="0"/>
                                      </a:rPr>
                                      <m:t>2</m:t>
                                    </m:r>
                                  </m:sub>
                                </m:sSub>
                                <m:r>
                                  <a:rPr lang="it-IT" sz="1000" b="0" i="1">
                                    <a:latin typeface="Cambria Math" panose="02040503050406030204" pitchFamily="18" charset="0"/>
                                  </a:rPr>
                                  <m:t>⋅</m:t>
                                </m:r>
                                <m:sSup>
                                  <m:sSupPr>
                                    <m:ctrlPr>
                                      <a:rPr lang="it-IT" sz="1000" b="0" i="1">
                                        <a:latin typeface="Cambria Math" panose="02040503050406030204" pitchFamily="18" charset="0"/>
                                      </a:rPr>
                                    </m:ctrlPr>
                                  </m:sSupPr>
                                  <m:e>
                                    <m:d>
                                      <m:dPr>
                                        <m:ctrlPr>
                                          <a:rPr lang="it-IT" sz="1000" b="0" i="1">
                                            <a:latin typeface="Cambria Math" panose="02040503050406030204" pitchFamily="18" charset="0"/>
                                          </a:rPr>
                                        </m:ctrlPr>
                                      </m:dPr>
                                      <m:e>
                                        <m:sSub>
                                          <m:sSubPr>
                                            <m:ctrlPr>
                                              <a:rPr lang="it-IT" sz="1000" b="0" i="1">
                                                <a:latin typeface="Cambria Math" panose="02040503050406030204" pitchFamily="18" charset="0"/>
                                              </a:rPr>
                                            </m:ctrlPr>
                                          </m:sSubPr>
                                          <m:e>
                                            <m:r>
                                              <a:rPr lang="it-IT" sz="1000" b="0" i="1">
                                                <a:latin typeface="Cambria Math" panose="02040503050406030204" pitchFamily="18" charset="0"/>
                                              </a:rPr>
                                              <m:t>h</m:t>
                                            </m:r>
                                          </m:e>
                                          <m:sub>
                                            <m:r>
                                              <a:rPr lang="it-IT" sz="1000" b="0" i="1">
                                                <a:latin typeface="Cambria Math" panose="02040503050406030204" pitchFamily="18" charset="0"/>
                                              </a:rPr>
                                              <m:t>2</m:t>
                                            </m:r>
                                          </m:sub>
                                        </m:sSub>
                                        <m:r>
                                          <a:rPr lang="it-IT" sz="1000" b="0" i="1">
                                            <a:latin typeface="Cambria Math" panose="02040503050406030204" pitchFamily="18" charset="0"/>
                                          </a:rPr>
                                          <m:t>/2+</m:t>
                                        </m:r>
                                        <m:sSub>
                                          <m:sSubPr>
                                            <m:ctrlPr>
                                              <a:rPr lang="it-IT" sz="1000" b="0" i="1">
                                                <a:latin typeface="Cambria Math" panose="02040503050406030204" pitchFamily="18" charset="0"/>
                                              </a:rPr>
                                            </m:ctrlPr>
                                          </m:sSubPr>
                                          <m:e>
                                            <m:r>
                                              <a:rPr lang="it-IT" sz="1000" b="0" i="1">
                                                <a:latin typeface="Cambria Math" panose="02040503050406030204" pitchFamily="18" charset="0"/>
                                              </a:rPr>
                                              <m:t>𝑎</m:t>
                                            </m:r>
                                          </m:e>
                                          <m:sub>
                                            <m:r>
                                              <a:rPr lang="it-IT" sz="1000" b="0" i="1">
                                                <a:latin typeface="Cambria Math" panose="02040503050406030204" pitchFamily="18" charset="0"/>
                                              </a:rPr>
                                              <m:t>2</m:t>
                                            </m:r>
                                          </m:sub>
                                        </m:sSub>
                                      </m:e>
                                    </m:d>
                                  </m:e>
                                  <m:sup>
                                    <m:r>
                                      <a:rPr lang="it-IT" sz="1000" b="0" i="1">
                                        <a:latin typeface="Cambria Math" panose="02040503050406030204" pitchFamily="18" charset="0"/>
                                      </a:rPr>
                                      <m:t>2</m:t>
                                    </m:r>
                                  </m:sup>
                                </m:sSup>
                              </m:num>
                              <m:den>
                                <m:sSub>
                                  <m:sSubPr>
                                    <m:ctrlPr>
                                      <a:rPr lang="it-IT" sz="1000" b="0" i="1">
                                        <a:latin typeface="Cambria Math" panose="02040503050406030204" pitchFamily="18" charset="0"/>
                                      </a:rPr>
                                    </m:ctrlPr>
                                  </m:sSubPr>
                                  <m:e>
                                    <m:d>
                                      <m:dPr>
                                        <m:ctrlPr>
                                          <a:rPr lang="it-IT" sz="1000" b="0" i="1">
                                            <a:latin typeface="Cambria Math" panose="02040503050406030204" pitchFamily="18" charset="0"/>
                                          </a:rPr>
                                        </m:ctrlPr>
                                      </m:dPr>
                                      <m:e>
                                        <m:r>
                                          <a:rPr lang="it-IT" sz="1000" b="0" i="1">
                                            <a:latin typeface="Cambria Math" panose="02040503050406030204" pitchFamily="18" charset="0"/>
                                          </a:rPr>
                                          <m:t>𝐸𝐽</m:t>
                                        </m:r>
                                      </m:e>
                                    </m:d>
                                  </m:e>
                                  <m:sub>
                                    <m:r>
                                      <a:rPr lang="it-IT" sz="1000" b="0" i="1">
                                        <a:latin typeface="Cambria Math" panose="02040503050406030204" pitchFamily="18" charset="0"/>
                                      </a:rPr>
                                      <m:t>𝑒𝑓𝑓</m:t>
                                    </m:r>
                                  </m:sub>
                                </m:sSub>
                              </m:den>
                            </m:f>
                            <m:r>
                              <a:rPr lang="it-IT" sz="1000" b="0" i="1">
                                <a:latin typeface="Cambria Math" panose="02040503050406030204" pitchFamily="18" charset="0"/>
                              </a:rPr>
                              <m:t>⋅</m:t>
                            </m:r>
                            <m:sSub>
                              <m:sSubPr>
                                <m:ctrlPr>
                                  <a:rPr lang="it-IT" sz="1000" b="0" i="1">
                                    <a:latin typeface="Cambria Math" panose="02040503050406030204" pitchFamily="18" charset="0"/>
                                  </a:rPr>
                                </m:ctrlPr>
                              </m:sSubPr>
                              <m:e>
                                <m:r>
                                  <a:rPr lang="it-IT" sz="1000" b="0" i="1">
                                    <a:latin typeface="Cambria Math" panose="02040503050406030204" pitchFamily="18" charset="0"/>
                                  </a:rPr>
                                  <m:t>𝑉</m:t>
                                </m:r>
                              </m:e>
                              <m:sub>
                                <m:r>
                                  <a:rPr lang="it-IT" sz="1000" b="0" i="1">
                                    <a:latin typeface="Cambria Math" panose="02040503050406030204" pitchFamily="18" charset="0"/>
                                  </a:rPr>
                                  <m:t>𝑠𝑑</m:t>
                                </m:r>
                              </m:sub>
                            </m:sSub>
                            <m:r>
                              <a:rPr lang="it-IT" sz="1000" b="0" i="1">
                                <a:latin typeface="Cambria Math" panose="02040503050406030204" pitchFamily="18" charset="0"/>
                              </a:rPr>
                              <m:t>   </m:t>
                            </m:r>
                            <m:r>
                              <a:rPr lang="it-IT" sz="1000" b="0" i="1">
                                <a:solidFill>
                                  <a:schemeClr val="tx1"/>
                                </a:solidFill>
                                <a:effectLst/>
                                <a:latin typeface="Cambria Math" panose="02040503050406030204" pitchFamily="18" charset="0"/>
                                <a:ea typeface="+mn-ea"/>
                                <a:cs typeface="+mn-cs"/>
                              </a:rPr>
                              <m:t> ∀</m:t>
                            </m:r>
                            <m:sSub>
                              <m:sSubPr>
                                <m:ctrlPr>
                                  <a:rPr lang="it-IT" sz="1000" b="0" i="1">
                                    <a:solidFill>
                                      <a:schemeClr val="tx1"/>
                                    </a:solidFill>
                                    <a:effectLst/>
                                    <a:latin typeface="Cambria Math" panose="02040503050406030204" pitchFamily="18" charset="0"/>
                                    <a:ea typeface="+mn-ea"/>
                                    <a:cs typeface="+mn-cs"/>
                                  </a:rPr>
                                </m:ctrlPr>
                              </m:sSubPr>
                              <m:e>
                                <m:r>
                                  <a:rPr lang="it-IT" sz="1000" b="0" i="1">
                                    <a:solidFill>
                                      <a:schemeClr val="tx1"/>
                                    </a:solidFill>
                                    <a:effectLst/>
                                    <a:latin typeface="Cambria Math" panose="02040503050406030204" pitchFamily="18" charset="0"/>
                                    <a:ea typeface="+mn-ea"/>
                                    <a:cs typeface="+mn-cs"/>
                                  </a:rPr>
                                  <m:t>𝑎</m:t>
                                </m:r>
                              </m:e>
                              <m:sub>
                                <m:r>
                                  <a:rPr lang="it-IT" sz="1000" b="0" i="1">
                                    <a:solidFill>
                                      <a:schemeClr val="tx1"/>
                                    </a:solidFill>
                                    <a:effectLst/>
                                    <a:latin typeface="Cambria Math" panose="02040503050406030204" pitchFamily="18" charset="0"/>
                                    <a:ea typeface="+mn-ea"/>
                                    <a:cs typeface="+mn-cs"/>
                                  </a:rPr>
                                  <m:t>2</m:t>
                                </m:r>
                              </m:sub>
                            </m:sSub>
                            <m:r>
                              <a:rPr lang="it-IT" sz="1000" b="0" i="1">
                                <a:solidFill>
                                  <a:schemeClr val="tx1"/>
                                </a:solidFill>
                                <a:effectLst/>
                                <a:latin typeface="Cambria Math" panose="02040503050406030204" pitchFamily="18" charset="0"/>
                                <a:ea typeface="+mn-ea"/>
                                <a:cs typeface="+mn-cs"/>
                              </a:rPr>
                              <m:t>&lt;</m:t>
                            </m:r>
                            <m:sSub>
                              <m:sSubPr>
                                <m:ctrlPr>
                                  <a:rPr lang="it-IT" sz="1000" b="0" i="1">
                                    <a:solidFill>
                                      <a:schemeClr val="tx1"/>
                                    </a:solidFill>
                                    <a:effectLst/>
                                    <a:latin typeface="Cambria Math" panose="02040503050406030204" pitchFamily="18" charset="0"/>
                                    <a:ea typeface="+mn-ea"/>
                                    <a:cs typeface="+mn-cs"/>
                                  </a:rPr>
                                </m:ctrlPr>
                              </m:sSubPr>
                              <m:e>
                                <m:r>
                                  <a:rPr lang="it-IT" sz="1000" b="0" i="1">
                                    <a:solidFill>
                                      <a:schemeClr val="tx1"/>
                                    </a:solidFill>
                                    <a:effectLst/>
                                    <a:latin typeface="Cambria Math" panose="02040503050406030204" pitchFamily="18" charset="0"/>
                                    <a:ea typeface="+mn-ea"/>
                                    <a:cs typeface="+mn-cs"/>
                                  </a:rPr>
                                  <m:t>h</m:t>
                                </m:r>
                              </m:e>
                              <m:sub>
                                <m:r>
                                  <a:rPr lang="it-IT" sz="1000" b="0" i="1">
                                    <a:solidFill>
                                      <a:schemeClr val="tx1"/>
                                    </a:solidFill>
                                    <a:effectLst/>
                                    <a:latin typeface="Cambria Math" panose="02040503050406030204" pitchFamily="18" charset="0"/>
                                    <a:ea typeface="+mn-ea"/>
                                    <a:cs typeface="+mn-cs"/>
                                  </a:rPr>
                                  <m:t>2</m:t>
                                </m:r>
                              </m:sub>
                            </m:sSub>
                            <m:r>
                              <a:rPr lang="it-IT" sz="1000" b="0" i="1">
                                <a:solidFill>
                                  <a:schemeClr val="tx1"/>
                                </a:solidFill>
                                <a:effectLst/>
                                <a:latin typeface="Cambria Math" panose="02040503050406030204" pitchFamily="18" charset="0"/>
                                <a:ea typeface="+mn-ea"/>
                                <a:cs typeface="+mn-cs"/>
                              </a:rPr>
                              <m:t>/2</m:t>
                            </m:r>
                          </m:e>
                        </m:eqArr>
                      </m:e>
                    </m:d>
                  </m:oMath>
                </m:oMathPara>
              </a14:m>
              <a:endParaRPr lang="it-IT" sz="1000"/>
            </a:p>
          </xdr:txBody>
        </xdr:sp>
      </mc:Choice>
      <mc:Fallback xmlns="">
        <xdr:sp macro="" textlink="">
          <xdr:nvSpPr>
            <xdr:cNvPr id="14240" name="TextBox 14239">
              <a:extLst>
                <a:ext uri="{FF2B5EF4-FFF2-40B4-BE49-F238E27FC236}">
                  <a16:creationId xmlns:a16="http://schemas.microsoft.com/office/drawing/2014/main" id="{7FCE0E7E-7EA2-4A4E-8242-3A2E0FFBF910}"/>
                </a:ext>
              </a:extLst>
            </xdr:cNvPr>
            <xdr:cNvSpPr txBox="1"/>
          </xdr:nvSpPr>
          <xdr:spPr>
            <a:xfrm>
              <a:off x="3810000" y="82448399"/>
              <a:ext cx="2286000" cy="1143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000" b="0" i="0">
                  <a:latin typeface="Cambria Math" panose="02040503050406030204" pitchFamily="18" charset="0"/>
                </a:rPr>
                <a:t>𝜏_(2,𝑚𝑎𝑥)=</a:t>
              </a:r>
              <a:br>
                <a:rPr lang="it-IT" sz="1000" b="0" i="1">
                  <a:latin typeface="Cambria Math" panose="02040503050406030204" pitchFamily="18" charset="0"/>
                </a:rPr>
              </a:br>
              <a:r>
                <a:rPr lang="it-IT" sz="1000" b="0" i="0">
                  <a:latin typeface="Cambria Math" panose="02040503050406030204" pitchFamily="18" charset="0"/>
                </a:rPr>
                <a:t> {█((ℎ_2 𝐸_2 𝑎_2)/(𝐸𝐽)_𝑒𝑓𝑓 ⋅𝑉_(𝑠,𝑑)       ∀𝑎_2≥ℎ_2/2@(0,5⋅𝐸_2⋅(ℎ_2/2+𝑎_2 )^2)/(𝐸𝐽)_𝑒𝑓𝑓 ⋅𝑉_𝑠𝑑    </a:t>
              </a:r>
              <a:r>
                <a:rPr lang="it-IT" sz="1000" b="0" i="0">
                  <a:solidFill>
                    <a:schemeClr val="tx1"/>
                  </a:solidFill>
                  <a:effectLst/>
                  <a:latin typeface="Cambria Math" panose="02040503050406030204" pitchFamily="18" charset="0"/>
                  <a:ea typeface="+mn-ea"/>
                  <a:cs typeface="+mn-cs"/>
                </a:rPr>
                <a:t> ∀𝑎_2&lt;ℎ_2/2)┤</a:t>
              </a:r>
              <a:endParaRPr lang="it-IT" sz="1000"/>
            </a:p>
          </xdr:txBody>
        </xdr:sp>
      </mc:Fallback>
    </mc:AlternateContent>
    <xdr:clientData/>
  </xdr:oneCellAnchor>
  <xdr:oneCellAnchor>
    <xdr:from>
      <xdr:col>1</xdr:col>
      <xdr:colOff>0</xdr:colOff>
      <xdr:row>393</xdr:row>
      <xdr:rowOff>0</xdr:rowOff>
    </xdr:from>
    <xdr:ext cx="2286000" cy="381000"/>
    <mc:AlternateContent xmlns:mc="http://schemas.openxmlformats.org/markup-compatibility/2006" xmlns:a14="http://schemas.microsoft.com/office/drawing/2010/main">
      <mc:Choice Requires="a14">
        <xdr:sp macro="" textlink="">
          <xdr:nvSpPr>
            <xdr:cNvPr id="14241" name="TextBox 14240">
              <a:extLst>
                <a:ext uri="{FF2B5EF4-FFF2-40B4-BE49-F238E27FC236}">
                  <a16:creationId xmlns:a16="http://schemas.microsoft.com/office/drawing/2014/main" id="{00000000-0008-0000-0500-0000A1370000}"/>
                </a:ext>
              </a:extLst>
            </xdr:cNvPr>
            <xdr:cNvSpPr txBox="1"/>
          </xdr:nvSpPr>
          <xdr:spPr>
            <a:xfrm>
              <a:off x="9525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𝐹</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𝑎</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𝑠</m:t>
                            </m:r>
                          </m:e>
                          <m:sub>
                            <m:r>
                              <a:rPr lang="it-IT" sz="1100" b="0" i="1">
                                <a:solidFill>
                                  <a:schemeClr val="tx1"/>
                                </a:solidFill>
                                <a:effectLst/>
                                <a:latin typeface="Cambria Math" panose="02040503050406030204" pitchFamily="18" charset="0"/>
                                <a:ea typeface="+mn-ea"/>
                                <a:cs typeface="+mn-cs"/>
                              </a:rPr>
                              <m:t>𝑒𝑞</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&lt;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oMath>
                </m:oMathPara>
              </a14:m>
              <a:endParaRPr lang="it-IT" i="1">
                <a:effectLst/>
              </a:endParaRPr>
            </a:p>
          </xdr:txBody>
        </xdr:sp>
      </mc:Choice>
      <mc:Fallback xmlns="">
        <xdr:sp macro="" textlink="">
          <xdr:nvSpPr>
            <xdr:cNvPr id="14241" name="TextBox 14240">
              <a:extLst>
                <a:ext uri="{FF2B5EF4-FFF2-40B4-BE49-F238E27FC236}">
                  <a16:creationId xmlns:a16="http://schemas.microsoft.com/office/drawing/2014/main" id="{9227EA5C-B170-43D2-BF09-523474734BD5}"/>
                </a:ext>
              </a:extLst>
            </xdr:cNvPr>
            <xdr:cNvSpPr txBox="1"/>
          </xdr:nvSpPr>
          <xdr:spPr>
            <a:xfrm>
              <a:off x="9525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𝐹_(𝑠,𝑑)=(𝛾_1 𝐸_1 𝐴_1 𝑎_1 𝑠_𝑒𝑞)/(𝐸𝐽)_𝑒𝑓𝑓 ⋅𝑉_(𝑠,𝑑)&lt;𝑅_𝑑</a:t>
              </a:r>
              <a:endParaRPr lang="it-IT" i="1">
                <a:effectLst/>
              </a:endParaRPr>
            </a:p>
          </xdr:txBody>
        </xdr:sp>
      </mc:Fallback>
    </mc:AlternateContent>
    <xdr:clientData/>
  </xdr:oneCellAnchor>
  <xdr:oneCellAnchor>
    <xdr:from>
      <xdr:col>7</xdr:col>
      <xdr:colOff>0</xdr:colOff>
      <xdr:row>393</xdr:row>
      <xdr:rowOff>0</xdr:rowOff>
    </xdr:from>
    <xdr:ext cx="2286000" cy="381000"/>
    <mc:AlternateContent xmlns:mc="http://schemas.openxmlformats.org/markup-compatibility/2006" xmlns:a14="http://schemas.microsoft.com/office/drawing/2010/main">
      <mc:Choice Requires="a14">
        <xdr:sp macro="" textlink="">
          <xdr:nvSpPr>
            <xdr:cNvPr id="14242" name="TextBox 14241">
              <a:extLst>
                <a:ext uri="{FF2B5EF4-FFF2-40B4-BE49-F238E27FC236}">
                  <a16:creationId xmlns:a16="http://schemas.microsoft.com/office/drawing/2014/main" id="{00000000-0008-0000-0500-0000A2370000}"/>
                </a:ext>
              </a:extLst>
            </xdr:cNvPr>
            <xdr:cNvSpPr txBox="1"/>
          </xdr:nvSpPr>
          <xdr:spPr>
            <a:xfrm>
              <a:off x="381000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𝑘</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𝑘</m:t>
                            </m:r>
                          </m:e>
                          <m:sub>
                            <m:r>
                              <a:rPr lang="it-IT" sz="1100" b="0" i="1">
                                <a:solidFill>
                                  <a:schemeClr val="tx1"/>
                                </a:solidFill>
                                <a:effectLst/>
                                <a:latin typeface="Cambria Math" panose="02040503050406030204" pitchFamily="18" charset="0"/>
                                <a:ea typeface="+mn-ea"/>
                                <a:cs typeface="+mn-cs"/>
                              </a:rPr>
                              <m:t>𝑚𝑜𝑑</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14242" name="TextBox 14241">
              <a:extLst>
                <a:ext uri="{FF2B5EF4-FFF2-40B4-BE49-F238E27FC236}">
                  <a16:creationId xmlns:a16="http://schemas.microsoft.com/office/drawing/2014/main" id="{901D2400-511F-43F1-9521-DFD207726988}"/>
                </a:ext>
              </a:extLst>
            </xdr:cNvPr>
            <xdr:cNvSpPr txBox="1"/>
          </xdr:nvSpPr>
          <xdr:spPr>
            <a:xfrm>
              <a:off x="3810000" y="8601075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𝑅_𝑑=(𝑅_𝑘⋅𝑘_𝑚𝑜𝑑)/(𝐸𝐽)_𝑒𝑓𝑓 ⋅𝑉_(𝑠,𝑑)</a:t>
              </a:r>
              <a:endParaRPr lang="it-IT">
                <a:effectLst/>
              </a:endParaRPr>
            </a:p>
          </xdr:txBody>
        </xdr:sp>
      </mc:Fallback>
    </mc:AlternateContent>
    <xdr:clientData/>
  </xdr:oneCellAnchor>
  <xdr:oneCellAnchor>
    <xdr:from>
      <xdr:col>1</xdr:col>
      <xdr:colOff>0</xdr:colOff>
      <xdr:row>398</xdr:row>
      <xdr:rowOff>0</xdr:rowOff>
    </xdr:from>
    <xdr:ext cx="2286000" cy="381000"/>
    <mc:AlternateContent xmlns:mc="http://schemas.openxmlformats.org/markup-compatibility/2006" xmlns:a14="http://schemas.microsoft.com/office/drawing/2010/main">
      <mc:Choice Requires="a14">
        <xdr:sp macro="" textlink="">
          <xdr:nvSpPr>
            <xdr:cNvPr id="14243" name="TextBox 14242">
              <a:extLst>
                <a:ext uri="{FF2B5EF4-FFF2-40B4-BE49-F238E27FC236}">
                  <a16:creationId xmlns:a16="http://schemas.microsoft.com/office/drawing/2014/main" id="{00000000-0008-0000-0500-0000A3370000}"/>
                </a:ext>
              </a:extLst>
            </xdr:cNvPr>
            <xdr:cNvSpPr txBox="1"/>
          </xdr:nvSpPr>
          <xdr:spPr>
            <a:xfrm>
              <a:off x="9525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𝐹</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𝑎</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𝑠</m:t>
                            </m:r>
                          </m:e>
                          <m:sub>
                            <m:r>
                              <a:rPr lang="it-IT" sz="1100" b="0" i="1">
                                <a:solidFill>
                                  <a:schemeClr val="tx1"/>
                                </a:solidFill>
                                <a:effectLst/>
                                <a:latin typeface="Cambria Math" panose="02040503050406030204" pitchFamily="18" charset="0"/>
                                <a:ea typeface="+mn-ea"/>
                                <a:cs typeface="+mn-cs"/>
                              </a:rPr>
                              <m:t>𝑒𝑞</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&lt;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14243" name="TextBox 14242">
              <a:extLst>
                <a:ext uri="{FF2B5EF4-FFF2-40B4-BE49-F238E27FC236}">
                  <a16:creationId xmlns:a16="http://schemas.microsoft.com/office/drawing/2014/main" id="{4FE8F222-EF4A-4E51-9D2B-A07CCE7A175A}"/>
                </a:ext>
              </a:extLst>
            </xdr:cNvPr>
            <xdr:cNvSpPr txBox="1"/>
          </xdr:nvSpPr>
          <xdr:spPr>
            <a:xfrm>
              <a:off x="9525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𝐹_(𝑠,𝑑)=(𝛾_1 𝐸_1 𝐴_1 𝑎_1 𝑠_𝑒𝑞)/(𝐸𝐽)_𝑒𝑓𝑓 ⋅𝑉_(𝑠,𝑑)&lt;𝑅_𝑑</a:t>
              </a:r>
              <a:endParaRPr lang="it-IT">
                <a:effectLst/>
              </a:endParaRPr>
            </a:p>
          </xdr:txBody>
        </xdr:sp>
      </mc:Fallback>
    </mc:AlternateContent>
    <xdr:clientData/>
  </xdr:oneCellAnchor>
  <xdr:oneCellAnchor>
    <xdr:from>
      <xdr:col>7</xdr:col>
      <xdr:colOff>0</xdr:colOff>
      <xdr:row>398</xdr:row>
      <xdr:rowOff>0</xdr:rowOff>
    </xdr:from>
    <xdr:ext cx="2286000" cy="381000"/>
    <mc:AlternateContent xmlns:mc="http://schemas.openxmlformats.org/markup-compatibility/2006" xmlns:a14="http://schemas.microsoft.com/office/drawing/2010/main">
      <mc:Choice Requires="a14">
        <xdr:sp macro="" textlink="">
          <xdr:nvSpPr>
            <xdr:cNvPr id="14244" name="TextBox 14243">
              <a:extLst>
                <a:ext uri="{FF2B5EF4-FFF2-40B4-BE49-F238E27FC236}">
                  <a16:creationId xmlns:a16="http://schemas.microsoft.com/office/drawing/2014/main" id="{00000000-0008-0000-0500-0000A4370000}"/>
                </a:ext>
              </a:extLst>
            </xdr:cNvPr>
            <xdr:cNvSpPr txBox="1"/>
          </xdr:nvSpPr>
          <xdr:spPr>
            <a:xfrm>
              <a:off x="381000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𝑑</m:t>
                        </m:r>
                      </m:sub>
                    </m:sSub>
                    <m:r>
                      <a:rPr lang="it-IT" sz="1100" b="0" i="1">
                        <a:solidFill>
                          <a:schemeClr val="tx1"/>
                        </a:solidFill>
                        <a:effectLst/>
                        <a:latin typeface="Cambria Math" panose="02040503050406030204" pitchFamily="18" charset="0"/>
                        <a:ea typeface="+mn-ea"/>
                        <a:cs typeface="+mn-cs"/>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𝑅</m:t>
                            </m:r>
                          </m:e>
                          <m:sub>
                            <m:r>
                              <a:rPr lang="it-IT" sz="1100" b="0" i="1">
                                <a:solidFill>
                                  <a:schemeClr val="tx1"/>
                                </a:solidFill>
                                <a:effectLst/>
                                <a:latin typeface="Cambria Math" panose="02040503050406030204" pitchFamily="18" charset="0"/>
                                <a:ea typeface="+mn-ea"/>
                                <a:cs typeface="+mn-cs"/>
                              </a:rPr>
                              <m:t>𝑘</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𝑘</m:t>
                            </m:r>
                          </m:e>
                          <m:sub>
                            <m:r>
                              <a:rPr lang="it-IT" sz="1100" b="0" i="1">
                                <a:solidFill>
                                  <a:schemeClr val="tx1"/>
                                </a:solidFill>
                                <a:effectLst/>
                                <a:latin typeface="Cambria Math" panose="02040503050406030204" pitchFamily="18" charset="0"/>
                                <a:ea typeface="+mn-ea"/>
                                <a:cs typeface="+mn-cs"/>
                              </a:rPr>
                              <m:t>𝑚𝑜𝑑</m:t>
                            </m:r>
                          </m:sub>
                        </m:sSub>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𝐸𝐽</m:t>
                                </m:r>
                              </m:e>
                            </m:d>
                          </m:e>
                          <m:sub>
                            <m:r>
                              <a:rPr lang="it-IT" sz="1100" b="0" i="1">
                                <a:solidFill>
                                  <a:schemeClr val="tx1"/>
                                </a:solidFill>
                                <a:effectLst/>
                                <a:latin typeface="Cambria Math" panose="02040503050406030204" pitchFamily="18" charset="0"/>
                                <a:ea typeface="+mn-ea"/>
                                <a:cs typeface="+mn-cs"/>
                              </a:rPr>
                              <m:t>𝑒𝑓𝑓</m:t>
                            </m:r>
                          </m:sub>
                        </m:sSub>
                      </m:den>
                    </m:f>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𝑉</m:t>
                        </m:r>
                      </m:e>
                      <m:sub>
                        <m:r>
                          <a:rPr lang="it-IT" sz="1100" b="0" i="1">
                            <a:solidFill>
                              <a:schemeClr val="tx1"/>
                            </a:solidFill>
                            <a:effectLst/>
                            <a:latin typeface="Cambria Math" panose="02040503050406030204" pitchFamily="18" charset="0"/>
                            <a:ea typeface="+mn-ea"/>
                            <a:cs typeface="+mn-cs"/>
                          </a:rPr>
                          <m:t>𝑠</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𝑑</m:t>
                        </m:r>
                      </m:sub>
                    </m:sSub>
                  </m:oMath>
                </m:oMathPara>
              </a14:m>
              <a:endParaRPr lang="it-IT">
                <a:effectLst/>
              </a:endParaRPr>
            </a:p>
          </xdr:txBody>
        </xdr:sp>
      </mc:Choice>
      <mc:Fallback xmlns="">
        <xdr:sp macro="" textlink="">
          <xdr:nvSpPr>
            <xdr:cNvPr id="14244" name="TextBox 14243">
              <a:extLst>
                <a:ext uri="{FF2B5EF4-FFF2-40B4-BE49-F238E27FC236}">
                  <a16:creationId xmlns:a16="http://schemas.microsoft.com/office/drawing/2014/main" id="{E91E7139-0405-4363-B716-02BBD88B86AE}"/>
                </a:ext>
              </a:extLst>
            </xdr:cNvPr>
            <xdr:cNvSpPr txBox="1"/>
          </xdr:nvSpPr>
          <xdr:spPr>
            <a:xfrm>
              <a:off x="3810000" y="869537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solidFill>
                    <a:schemeClr val="tx1"/>
                  </a:solidFill>
                  <a:effectLst/>
                  <a:latin typeface="Cambria Math" panose="02040503050406030204" pitchFamily="18" charset="0"/>
                  <a:ea typeface="+mn-ea"/>
                  <a:cs typeface="+mn-cs"/>
                </a:rPr>
                <a:t>𝑅_𝑑=(𝑅_𝑘⋅𝑘_𝑚𝑜𝑑)/(𝐸𝐽)_𝑒𝑓𝑓 ⋅𝑉_(𝑠,𝑑)</a:t>
              </a:r>
              <a:endParaRPr lang="it-IT">
                <a:effectLst/>
              </a:endParaRPr>
            </a:p>
          </xdr:txBody>
        </xdr:sp>
      </mc:Fallback>
    </mc:AlternateContent>
    <xdr:clientData/>
  </xdr:oneCellAnchor>
  <xdr:oneCellAnchor>
    <xdr:from>
      <xdr:col>2</xdr:col>
      <xdr:colOff>0</xdr:colOff>
      <xdr:row>419</xdr:row>
      <xdr:rowOff>95249</xdr:rowOff>
    </xdr:from>
    <xdr:ext cx="1143000" cy="333375"/>
    <mc:AlternateContent xmlns:mc="http://schemas.openxmlformats.org/markup-compatibility/2006" xmlns:a14="http://schemas.microsoft.com/office/drawing/2010/main">
      <mc:Choice Requires="a14">
        <xdr:sp macro="" textlink="">
          <xdr:nvSpPr>
            <xdr:cNvPr id="5749" name="TextBox 5748">
              <a:extLst>
                <a:ext uri="{FF2B5EF4-FFF2-40B4-BE49-F238E27FC236}">
                  <a16:creationId xmlns:a16="http://schemas.microsoft.com/office/drawing/2014/main" id="{00000000-0008-0000-0500-000075160000}"/>
                </a:ext>
              </a:extLst>
            </xdr:cNvPr>
            <xdr:cNvSpPr txBox="1"/>
          </xdr:nvSpPr>
          <xdr:spPr>
            <a:xfrm>
              <a:off x="1238250" y="114814349"/>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5749" name="TextBox 5748">
              <a:extLst>
                <a:ext uri="{FF2B5EF4-FFF2-40B4-BE49-F238E27FC236}">
                  <a16:creationId xmlns:a16="http://schemas.microsoft.com/office/drawing/2014/main" id="{40255A67-1254-4BB3-B02B-035570E42466}"/>
                </a:ext>
              </a:extLst>
            </xdr:cNvPr>
            <xdr:cNvSpPr txBox="1"/>
          </xdr:nvSpPr>
          <xdr:spPr>
            <a:xfrm>
              <a:off x="1238250" y="114814349"/>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(𝐸𝐽_0 )_(𝑡=0)=∑𝐸_𝑖 𝐽_𝑖</a:t>
              </a:r>
              <a:endParaRPr lang="it-IT" sz="1100"/>
            </a:p>
          </xdr:txBody>
        </xdr:sp>
      </mc:Fallback>
    </mc:AlternateContent>
    <xdr:clientData/>
  </xdr:oneCellAnchor>
  <xdr:oneCellAnchor>
    <xdr:from>
      <xdr:col>2</xdr:col>
      <xdr:colOff>0</xdr:colOff>
      <xdr:row>421</xdr:row>
      <xdr:rowOff>0</xdr:rowOff>
    </xdr:from>
    <xdr:ext cx="1143000" cy="333375"/>
    <mc:AlternateContent xmlns:mc="http://schemas.openxmlformats.org/markup-compatibility/2006" xmlns:a14="http://schemas.microsoft.com/office/drawing/2010/main">
      <mc:Choice Requires="a14">
        <xdr:sp macro="" textlink="">
          <xdr:nvSpPr>
            <xdr:cNvPr id="5752" name="TextBox 5751">
              <a:extLst>
                <a:ext uri="{FF2B5EF4-FFF2-40B4-BE49-F238E27FC236}">
                  <a16:creationId xmlns:a16="http://schemas.microsoft.com/office/drawing/2014/main" id="{00000000-0008-0000-0500-000078160000}"/>
                </a:ext>
              </a:extLst>
            </xdr:cNvPr>
            <xdr:cNvSpPr txBox="1"/>
          </xdr:nvSpPr>
          <xdr:spPr>
            <a:xfrm>
              <a:off x="1238250" y="115147725"/>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5752" name="TextBox 5751">
              <a:extLst>
                <a:ext uri="{FF2B5EF4-FFF2-40B4-BE49-F238E27FC236}">
                  <a16:creationId xmlns:a16="http://schemas.microsoft.com/office/drawing/2014/main" id="{F6340008-9060-48FD-BFD9-1FCC6EF748F2}"/>
                </a:ext>
              </a:extLst>
            </xdr:cNvPr>
            <xdr:cNvSpPr txBox="1"/>
          </xdr:nvSpPr>
          <xdr:spPr>
            <a:xfrm>
              <a:off x="1238250" y="115147725"/>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(𝐸𝐴_0 )_(𝑡=0)=∑𝐸_𝑖 𝐴_𝑖</a:t>
              </a:r>
              <a:endParaRPr lang="it-IT" sz="1100"/>
            </a:p>
          </xdr:txBody>
        </xdr:sp>
      </mc:Fallback>
    </mc:AlternateContent>
    <xdr:clientData/>
  </xdr:oneCellAnchor>
  <xdr:oneCellAnchor>
    <xdr:from>
      <xdr:col>8</xdr:col>
      <xdr:colOff>0</xdr:colOff>
      <xdr:row>420</xdr:row>
      <xdr:rowOff>0</xdr:rowOff>
    </xdr:from>
    <xdr:ext cx="1143000" cy="666750"/>
    <mc:AlternateContent xmlns:mc="http://schemas.openxmlformats.org/markup-compatibility/2006" xmlns:a14="http://schemas.microsoft.com/office/drawing/2010/main">
      <mc:Choice Requires="a14">
        <xdr:sp macro="" textlink="">
          <xdr:nvSpPr>
            <xdr:cNvPr id="5753" name="TextBox 5752">
              <a:extLst>
                <a:ext uri="{FF2B5EF4-FFF2-40B4-BE49-F238E27FC236}">
                  <a16:creationId xmlns:a16="http://schemas.microsoft.com/office/drawing/2014/main" id="{00000000-0008-0000-0500-000079160000}"/>
                </a:ext>
              </a:extLst>
            </xdr:cNvPr>
            <xdr:cNvSpPr txBox="1"/>
          </xdr:nvSpPr>
          <xdr:spPr>
            <a:xfrm>
              <a:off x="4953000" y="114814350"/>
              <a:ext cx="1143000" cy="666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5753" name="TextBox 5752">
              <a:extLst>
                <a:ext uri="{FF2B5EF4-FFF2-40B4-BE49-F238E27FC236}">
                  <a16:creationId xmlns:a16="http://schemas.microsoft.com/office/drawing/2014/main" id="{7BE1A62D-CE0F-4A34-AD9E-ECC43E5C32BB}"/>
                </a:ext>
              </a:extLst>
            </xdr:cNvPr>
            <xdr:cNvSpPr txBox="1"/>
          </xdr:nvSpPr>
          <xdr:spPr>
            <a:xfrm>
              <a:off x="4953000" y="114814350"/>
              <a:ext cx="1143000" cy="666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424</xdr:row>
      <xdr:rowOff>0</xdr:rowOff>
    </xdr:from>
    <xdr:ext cx="2286000" cy="361950"/>
    <mc:AlternateContent xmlns:mc="http://schemas.openxmlformats.org/markup-compatibility/2006" xmlns:a14="http://schemas.microsoft.com/office/drawing/2010/main">
      <mc:Choice Requires="a14">
        <xdr:sp macro="" textlink="">
          <xdr:nvSpPr>
            <xdr:cNvPr id="5754" name="TextBox 5753">
              <a:extLst>
                <a:ext uri="{FF2B5EF4-FFF2-40B4-BE49-F238E27FC236}">
                  <a16:creationId xmlns:a16="http://schemas.microsoft.com/office/drawing/2014/main" id="{00000000-0008-0000-0500-00007A160000}"/>
                </a:ext>
              </a:extLst>
            </xdr:cNvPr>
            <xdr:cNvSpPr txBox="1"/>
          </xdr:nvSpPr>
          <xdr:spPr>
            <a:xfrm>
              <a:off x="95250" y="516064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=0</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5754" name="TextBox 5753">
              <a:extLst>
                <a:ext uri="{FF2B5EF4-FFF2-40B4-BE49-F238E27FC236}">
                  <a16:creationId xmlns:a16="http://schemas.microsoft.com/office/drawing/2014/main" id="{0A39B359-1961-40EF-BCB0-CA73332FE5DC}"/>
                </a:ext>
              </a:extLst>
            </xdr:cNvPr>
            <xdr:cNvSpPr txBox="1"/>
          </xdr:nvSpPr>
          <xdr:spPr>
            <a:xfrm>
              <a:off x="95250" y="516064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)_(𝑡=0)=(𝐸𝐽)_(𝑡=0)+</a:t>
              </a:r>
              <a:r>
                <a:rPr lang="it-IT" sz="1100" b="0" i="0">
                  <a:solidFill>
                    <a:schemeClr val="tx1"/>
                  </a:solidFill>
                  <a:effectLst/>
                  <a:latin typeface="Cambria Math" panose="02040503050406030204" pitchFamily="18" charset="0"/>
                  <a:ea typeface="+mn-ea"/>
                  <a:cs typeface="+mn-cs"/>
                </a:rPr>
                <a:t>(𝐸𝐴)_(𝑡=0)⋅𝑎^2</a:t>
              </a:r>
              <a:endParaRPr lang="it-IT" sz="1100"/>
            </a:p>
          </xdr:txBody>
        </xdr:sp>
      </mc:Fallback>
    </mc:AlternateContent>
    <xdr:clientData/>
  </xdr:oneCellAnchor>
  <xdr:oneCellAnchor>
    <xdr:from>
      <xdr:col>1</xdr:col>
      <xdr:colOff>0</xdr:colOff>
      <xdr:row>428</xdr:row>
      <xdr:rowOff>0</xdr:rowOff>
    </xdr:from>
    <xdr:ext cx="2286000" cy="476250"/>
    <mc:AlternateContent xmlns:mc="http://schemas.openxmlformats.org/markup-compatibility/2006" xmlns:a14="http://schemas.microsoft.com/office/drawing/2010/main">
      <mc:Choice Requires="a14">
        <xdr:sp macro="" textlink="">
          <xdr:nvSpPr>
            <xdr:cNvPr id="5755" name="TextBox 5754">
              <a:extLst>
                <a:ext uri="{FF2B5EF4-FFF2-40B4-BE49-F238E27FC236}">
                  <a16:creationId xmlns:a16="http://schemas.microsoft.com/office/drawing/2014/main" id="{00000000-0008-0000-0500-00007B160000}"/>
                </a:ext>
              </a:extLst>
            </xdr:cNvPr>
            <xdr:cNvSpPr txBox="1"/>
          </xdr:nvSpPr>
          <xdr:spPr>
            <a:xfrm>
              <a:off x="95250" y="1164812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𝑠𝑒𝑟</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5755" name="TextBox 5754">
              <a:extLst>
                <a:ext uri="{FF2B5EF4-FFF2-40B4-BE49-F238E27FC236}">
                  <a16:creationId xmlns:a16="http://schemas.microsoft.com/office/drawing/2014/main" id="{DFE68C9A-C9A0-4B03-9F16-CB5819063A6A}"/>
                </a:ext>
              </a:extLst>
            </xdr:cNvPr>
            <xdr:cNvSpPr txBox="1"/>
          </xdr:nvSpPr>
          <xdr:spPr>
            <a:xfrm>
              <a:off x="95250" y="1164812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𝑠_𝑒𝑞)/(𝐾_𝑠𝑒𝑟 ℓ^2 ))^(−1)</a:t>
              </a:r>
              <a:endParaRPr lang="it-IT" sz="1100"/>
            </a:p>
          </xdr:txBody>
        </xdr:sp>
      </mc:Fallback>
    </mc:AlternateContent>
    <xdr:clientData/>
  </xdr:oneCellAnchor>
  <xdr:oneCellAnchor>
    <xdr:from>
      <xdr:col>1</xdr:col>
      <xdr:colOff>0</xdr:colOff>
      <xdr:row>429</xdr:row>
      <xdr:rowOff>0</xdr:rowOff>
    </xdr:from>
    <xdr:ext cx="2286000" cy="476250"/>
    <mc:AlternateContent xmlns:mc="http://schemas.openxmlformats.org/markup-compatibility/2006" xmlns:a14="http://schemas.microsoft.com/office/drawing/2010/main">
      <mc:Choice Requires="a14">
        <xdr:sp macro="" textlink="">
          <xdr:nvSpPr>
            <xdr:cNvPr id="5756" name="TextBox 5755">
              <a:extLst>
                <a:ext uri="{FF2B5EF4-FFF2-40B4-BE49-F238E27FC236}">
                  <a16:creationId xmlns:a16="http://schemas.microsoft.com/office/drawing/2014/main" id="{00000000-0008-0000-0500-00007C160000}"/>
                </a:ext>
              </a:extLst>
            </xdr:cNvPr>
            <xdr:cNvSpPr txBox="1"/>
          </xdr:nvSpPr>
          <xdr:spPr>
            <a:xfrm>
              <a:off x="95250" y="116957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5756" name="TextBox 5755">
              <a:extLst>
                <a:ext uri="{FF2B5EF4-FFF2-40B4-BE49-F238E27FC236}">
                  <a16:creationId xmlns:a16="http://schemas.microsoft.com/office/drawing/2014/main" id="{41C7C91D-667C-4E3A-A280-7A25529FFD26}"/>
                </a:ext>
              </a:extLst>
            </xdr:cNvPr>
            <xdr:cNvSpPr txBox="1"/>
          </xdr:nvSpPr>
          <xdr:spPr>
            <a:xfrm>
              <a:off x="95250" y="116957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1</xdr:col>
      <xdr:colOff>0</xdr:colOff>
      <xdr:row>436</xdr:row>
      <xdr:rowOff>0</xdr:rowOff>
    </xdr:from>
    <xdr:ext cx="2286000" cy="381000"/>
    <mc:AlternateContent xmlns:mc="http://schemas.openxmlformats.org/markup-compatibility/2006" xmlns:a14="http://schemas.microsoft.com/office/drawing/2010/main">
      <mc:Choice Requires="a14">
        <xdr:sp macro="" textlink="">
          <xdr:nvSpPr>
            <xdr:cNvPr id="5757" name="TextBox 5756">
              <a:extLst>
                <a:ext uri="{FF2B5EF4-FFF2-40B4-BE49-F238E27FC236}">
                  <a16:creationId xmlns:a16="http://schemas.microsoft.com/office/drawing/2014/main" id="{00000000-0008-0000-0500-00007D160000}"/>
                </a:ext>
              </a:extLst>
            </xdr:cNvPr>
            <xdr:cNvSpPr txBox="1"/>
          </xdr:nvSpPr>
          <xdr:spPr>
            <a:xfrm>
              <a:off x="95250" y="1188434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5757" name="TextBox 5756">
              <a:extLst>
                <a:ext uri="{FF2B5EF4-FFF2-40B4-BE49-F238E27FC236}">
                  <a16:creationId xmlns:a16="http://schemas.microsoft.com/office/drawing/2014/main" id="{6CC4CA7C-0026-42D8-B054-BF1015EFEFC3}"/>
                </a:ext>
              </a:extLst>
            </xdr:cNvPr>
            <xdr:cNvSpPr txBox="1"/>
          </xdr:nvSpPr>
          <xdr:spPr>
            <a:xfrm>
              <a:off x="95250" y="1188434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0</xdr:colOff>
      <xdr:row>432</xdr:row>
      <xdr:rowOff>0</xdr:rowOff>
    </xdr:from>
    <xdr:ext cx="2286000" cy="361950"/>
    <mc:AlternateContent xmlns:mc="http://schemas.openxmlformats.org/markup-compatibility/2006" xmlns:a14="http://schemas.microsoft.com/office/drawing/2010/main">
      <mc:Choice Requires="a14">
        <xdr:sp macro="" textlink="">
          <xdr:nvSpPr>
            <xdr:cNvPr id="5758" name="TextBox 5757">
              <a:extLst>
                <a:ext uri="{FF2B5EF4-FFF2-40B4-BE49-F238E27FC236}">
                  <a16:creationId xmlns:a16="http://schemas.microsoft.com/office/drawing/2014/main" id="{00000000-0008-0000-0500-00007E160000}"/>
                </a:ext>
              </a:extLst>
            </xdr:cNvPr>
            <xdr:cNvSpPr txBox="1"/>
          </xdr:nvSpPr>
          <xdr:spPr>
            <a:xfrm>
              <a:off x="95250" y="1178147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5758" name="TextBox 5757">
              <a:extLst>
                <a:ext uri="{FF2B5EF4-FFF2-40B4-BE49-F238E27FC236}">
                  <a16:creationId xmlns:a16="http://schemas.microsoft.com/office/drawing/2014/main" id="{A719F75E-DE21-4494-B3A1-A7B7F046C336}"/>
                </a:ext>
              </a:extLst>
            </xdr:cNvPr>
            <xdr:cNvSpPr txBox="1"/>
          </xdr:nvSpPr>
          <xdr:spPr>
            <a:xfrm>
              <a:off x="95250" y="1178147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(𝐸𝐽_0 )_𝑒𝑓𝑓=𝐸_1 𝐽_1+𝐸_2 𝐽_2+𝐸_2 𝐴_2 𝑎_2^2+𝛾_1 𝐸_1 𝐴_1 𝑎_1^2</a:t>
              </a:r>
              <a:endParaRPr lang="it-IT" sz="1100"/>
            </a:p>
          </xdr:txBody>
        </xdr:sp>
      </mc:Fallback>
    </mc:AlternateContent>
    <xdr:clientData/>
  </xdr:oneCellAnchor>
  <xdr:oneCellAnchor>
    <xdr:from>
      <xdr:col>2</xdr:col>
      <xdr:colOff>0</xdr:colOff>
      <xdr:row>455</xdr:row>
      <xdr:rowOff>95249</xdr:rowOff>
    </xdr:from>
    <xdr:ext cx="1143000" cy="333375"/>
    <mc:AlternateContent xmlns:mc="http://schemas.openxmlformats.org/markup-compatibility/2006" xmlns:a14="http://schemas.microsoft.com/office/drawing/2010/main">
      <mc:Choice Requires="a14">
        <xdr:sp macro="" textlink="">
          <xdr:nvSpPr>
            <xdr:cNvPr id="5759" name="TextBox 5758">
              <a:extLst>
                <a:ext uri="{FF2B5EF4-FFF2-40B4-BE49-F238E27FC236}">
                  <a16:creationId xmlns:a16="http://schemas.microsoft.com/office/drawing/2014/main" id="{00000000-0008-0000-0500-00007F160000}"/>
                </a:ext>
              </a:extLst>
            </xdr:cNvPr>
            <xdr:cNvSpPr txBox="1"/>
          </xdr:nvSpPr>
          <xdr:spPr>
            <a:xfrm>
              <a:off x="1238250" y="114814349"/>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5759" name="TextBox 5758">
              <a:extLst>
                <a:ext uri="{FF2B5EF4-FFF2-40B4-BE49-F238E27FC236}">
                  <a16:creationId xmlns:a16="http://schemas.microsoft.com/office/drawing/2014/main" id="{CA473CAC-3AF3-43EF-9ED3-4F8972B13201}"/>
                </a:ext>
              </a:extLst>
            </xdr:cNvPr>
            <xdr:cNvSpPr txBox="1"/>
          </xdr:nvSpPr>
          <xdr:spPr>
            <a:xfrm>
              <a:off x="1238250" y="114814349"/>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(𝐸𝐽_0 )_(𝑡=0)=∑𝐸_𝑖 𝐽_𝑖</a:t>
              </a:r>
              <a:endParaRPr lang="it-IT" sz="1100"/>
            </a:p>
          </xdr:txBody>
        </xdr:sp>
      </mc:Fallback>
    </mc:AlternateContent>
    <xdr:clientData/>
  </xdr:oneCellAnchor>
  <xdr:oneCellAnchor>
    <xdr:from>
      <xdr:col>2</xdr:col>
      <xdr:colOff>0</xdr:colOff>
      <xdr:row>457</xdr:row>
      <xdr:rowOff>0</xdr:rowOff>
    </xdr:from>
    <xdr:ext cx="1143000" cy="333375"/>
    <mc:AlternateContent xmlns:mc="http://schemas.openxmlformats.org/markup-compatibility/2006" xmlns:a14="http://schemas.microsoft.com/office/drawing/2010/main">
      <mc:Choice Requires="a14">
        <xdr:sp macro="" textlink="">
          <xdr:nvSpPr>
            <xdr:cNvPr id="13952" name="TextBox 13951">
              <a:extLst>
                <a:ext uri="{FF2B5EF4-FFF2-40B4-BE49-F238E27FC236}">
                  <a16:creationId xmlns:a16="http://schemas.microsoft.com/office/drawing/2014/main" id="{00000000-0008-0000-0500-000080360000}"/>
                </a:ext>
              </a:extLst>
            </xdr:cNvPr>
            <xdr:cNvSpPr txBox="1"/>
          </xdr:nvSpPr>
          <xdr:spPr>
            <a:xfrm>
              <a:off x="1238250" y="115147725"/>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13952" name="TextBox 13951">
              <a:extLst>
                <a:ext uri="{FF2B5EF4-FFF2-40B4-BE49-F238E27FC236}">
                  <a16:creationId xmlns:a16="http://schemas.microsoft.com/office/drawing/2014/main" id="{FE0DE8D9-E4B2-4BD5-A99D-43076B3BF83E}"/>
                </a:ext>
              </a:extLst>
            </xdr:cNvPr>
            <xdr:cNvSpPr txBox="1"/>
          </xdr:nvSpPr>
          <xdr:spPr>
            <a:xfrm>
              <a:off x="1238250" y="115147725"/>
              <a:ext cx="11430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(𝐸𝐴_0 )_(𝑡=0)=∑𝐸_𝑖 𝐴_𝑖</a:t>
              </a:r>
              <a:endParaRPr lang="it-IT" sz="1100"/>
            </a:p>
          </xdr:txBody>
        </xdr:sp>
      </mc:Fallback>
    </mc:AlternateContent>
    <xdr:clientData/>
  </xdr:oneCellAnchor>
  <xdr:oneCellAnchor>
    <xdr:from>
      <xdr:col>8</xdr:col>
      <xdr:colOff>0</xdr:colOff>
      <xdr:row>456</xdr:row>
      <xdr:rowOff>0</xdr:rowOff>
    </xdr:from>
    <xdr:ext cx="1143000" cy="666750"/>
    <mc:AlternateContent xmlns:mc="http://schemas.openxmlformats.org/markup-compatibility/2006" xmlns:a14="http://schemas.microsoft.com/office/drawing/2010/main">
      <mc:Choice Requires="a14">
        <xdr:sp macro="" textlink="">
          <xdr:nvSpPr>
            <xdr:cNvPr id="13953" name="TextBox 13952">
              <a:extLst>
                <a:ext uri="{FF2B5EF4-FFF2-40B4-BE49-F238E27FC236}">
                  <a16:creationId xmlns:a16="http://schemas.microsoft.com/office/drawing/2014/main" id="{00000000-0008-0000-0500-000081360000}"/>
                </a:ext>
              </a:extLst>
            </xdr:cNvPr>
            <xdr:cNvSpPr txBox="1"/>
          </xdr:nvSpPr>
          <xdr:spPr>
            <a:xfrm>
              <a:off x="4953000" y="114814350"/>
              <a:ext cx="1143000" cy="666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h</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13953" name="TextBox 13952">
              <a:extLst>
                <a:ext uri="{FF2B5EF4-FFF2-40B4-BE49-F238E27FC236}">
                  <a16:creationId xmlns:a16="http://schemas.microsoft.com/office/drawing/2014/main" id="{1FF5508D-E92C-46A4-B39B-5EAB70C2BFF3}"/>
                </a:ext>
              </a:extLst>
            </xdr:cNvPr>
            <xdr:cNvSpPr txBox="1"/>
          </xdr:nvSpPr>
          <xdr:spPr>
            <a:xfrm>
              <a:off x="4953000" y="114814350"/>
              <a:ext cx="1143000" cy="666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460</xdr:row>
      <xdr:rowOff>0</xdr:rowOff>
    </xdr:from>
    <xdr:ext cx="2286000" cy="361950"/>
    <mc:AlternateContent xmlns:mc="http://schemas.openxmlformats.org/markup-compatibility/2006" xmlns:a14="http://schemas.microsoft.com/office/drawing/2010/main">
      <mc:Choice Requires="a14">
        <xdr:sp macro="" textlink="">
          <xdr:nvSpPr>
            <xdr:cNvPr id="13954" name="TextBox 13953">
              <a:extLst>
                <a:ext uri="{FF2B5EF4-FFF2-40B4-BE49-F238E27FC236}">
                  <a16:creationId xmlns:a16="http://schemas.microsoft.com/office/drawing/2014/main" id="{00000000-0008-0000-0500-000082360000}"/>
                </a:ext>
              </a:extLst>
            </xdr:cNvPr>
            <xdr:cNvSpPr txBox="1"/>
          </xdr:nvSpPr>
          <xdr:spPr>
            <a:xfrm>
              <a:off x="95250" y="1157668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=0</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13954" name="TextBox 13953">
              <a:extLst>
                <a:ext uri="{FF2B5EF4-FFF2-40B4-BE49-F238E27FC236}">
                  <a16:creationId xmlns:a16="http://schemas.microsoft.com/office/drawing/2014/main" id="{2554F5AE-8FD1-4BB8-95FA-9C376E7AF571}"/>
                </a:ext>
              </a:extLst>
            </xdr:cNvPr>
            <xdr:cNvSpPr txBox="1"/>
          </xdr:nvSpPr>
          <xdr:spPr>
            <a:xfrm>
              <a:off x="95250" y="1157668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)_(𝑡=0)=(𝐸𝐽)_(𝑡=0)+</a:t>
              </a:r>
              <a:r>
                <a:rPr lang="it-IT" sz="1100" b="0" i="0">
                  <a:solidFill>
                    <a:schemeClr val="tx1"/>
                  </a:solidFill>
                  <a:effectLst/>
                  <a:latin typeface="Cambria Math" panose="02040503050406030204" pitchFamily="18" charset="0"/>
                  <a:ea typeface="+mn-ea"/>
                  <a:cs typeface="+mn-cs"/>
                </a:rPr>
                <a:t>(𝐸𝐴)_(𝑡=0)⋅𝑎^2</a:t>
              </a:r>
              <a:endParaRPr lang="it-IT" sz="1100"/>
            </a:p>
          </xdr:txBody>
        </xdr:sp>
      </mc:Fallback>
    </mc:AlternateContent>
    <xdr:clientData/>
  </xdr:oneCellAnchor>
  <xdr:oneCellAnchor>
    <xdr:from>
      <xdr:col>1</xdr:col>
      <xdr:colOff>0</xdr:colOff>
      <xdr:row>464</xdr:row>
      <xdr:rowOff>0</xdr:rowOff>
    </xdr:from>
    <xdr:ext cx="2286000" cy="476250"/>
    <mc:AlternateContent xmlns:mc="http://schemas.openxmlformats.org/markup-compatibility/2006" xmlns:a14="http://schemas.microsoft.com/office/drawing/2010/main">
      <mc:Choice Requires="a14">
        <xdr:sp macro="" textlink="">
          <xdr:nvSpPr>
            <xdr:cNvPr id="13955" name="TextBox 13954">
              <a:extLst>
                <a:ext uri="{FF2B5EF4-FFF2-40B4-BE49-F238E27FC236}">
                  <a16:creationId xmlns:a16="http://schemas.microsoft.com/office/drawing/2014/main" id="{00000000-0008-0000-0500-000083360000}"/>
                </a:ext>
              </a:extLst>
            </xdr:cNvPr>
            <xdr:cNvSpPr txBox="1"/>
          </xdr:nvSpPr>
          <xdr:spPr>
            <a:xfrm>
              <a:off x="95250" y="1164812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𝑠𝑒𝑟</m:t>
                                    </m:r>
                                  </m:sub>
                                </m:sSub>
                                <m:sSup>
                                  <m:sSupPr>
                                    <m:ctrlPr>
                                      <a:rPr lang="it-IT" sz="1100" b="0" i="1">
                                        <a:latin typeface="Cambria Math" panose="02040503050406030204" pitchFamily="18" charset="0"/>
                                      </a:rPr>
                                    </m:ctrlPr>
                                  </m:sSupPr>
                                  <m:e>
                                    <m: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13955" name="TextBox 13954">
              <a:extLst>
                <a:ext uri="{FF2B5EF4-FFF2-40B4-BE49-F238E27FC236}">
                  <a16:creationId xmlns:a16="http://schemas.microsoft.com/office/drawing/2014/main" id="{7E880917-4EBD-4702-A411-093A5C735074}"/>
                </a:ext>
              </a:extLst>
            </xdr:cNvPr>
            <xdr:cNvSpPr txBox="1"/>
          </xdr:nvSpPr>
          <xdr:spPr>
            <a:xfrm>
              <a:off x="95250" y="11648122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𝑠_𝑒𝑞)/(𝐾_𝑠𝑒𝑟 ℓ^2 ))^(−1)</a:t>
              </a:r>
              <a:endParaRPr lang="it-IT" sz="1100"/>
            </a:p>
          </xdr:txBody>
        </xdr:sp>
      </mc:Fallback>
    </mc:AlternateContent>
    <xdr:clientData/>
  </xdr:oneCellAnchor>
  <xdr:oneCellAnchor>
    <xdr:from>
      <xdr:col>1</xdr:col>
      <xdr:colOff>0</xdr:colOff>
      <xdr:row>465</xdr:row>
      <xdr:rowOff>0</xdr:rowOff>
    </xdr:from>
    <xdr:ext cx="2286000" cy="476250"/>
    <mc:AlternateContent xmlns:mc="http://schemas.openxmlformats.org/markup-compatibility/2006" xmlns:a14="http://schemas.microsoft.com/office/drawing/2010/main">
      <mc:Choice Requires="a14">
        <xdr:sp macro="" textlink="">
          <xdr:nvSpPr>
            <xdr:cNvPr id="13956" name="TextBox 13955">
              <a:extLst>
                <a:ext uri="{FF2B5EF4-FFF2-40B4-BE49-F238E27FC236}">
                  <a16:creationId xmlns:a16="http://schemas.microsoft.com/office/drawing/2014/main" id="{00000000-0008-0000-0500-000084360000}"/>
                </a:ext>
              </a:extLst>
            </xdr:cNvPr>
            <xdr:cNvSpPr txBox="1"/>
          </xdr:nvSpPr>
          <xdr:spPr>
            <a:xfrm>
              <a:off x="95250" y="116957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13956" name="TextBox 13955">
              <a:extLst>
                <a:ext uri="{FF2B5EF4-FFF2-40B4-BE49-F238E27FC236}">
                  <a16:creationId xmlns:a16="http://schemas.microsoft.com/office/drawing/2014/main" id="{FED08BAF-8BC2-444E-855E-83961986F214}"/>
                </a:ext>
              </a:extLst>
            </xdr:cNvPr>
            <xdr:cNvSpPr txBox="1"/>
          </xdr:nvSpPr>
          <xdr:spPr>
            <a:xfrm>
              <a:off x="95250" y="116957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1</xdr:col>
      <xdr:colOff>0</xdr:colOff>
      <xdr:row>472</xdr:row>
      <xdr:rowOff>0</xdr:rowOff>
    </xdr:from>
    <xdr:ext cx="2286000" cy="381000"/>
    <mc:AlternateContent xmlns:mc="http://schemas.openxmlformats.org/markup-compatibility/2006" xmlns:a14="http://schemas.microsoft.com/office/drawing/2010/main">
      <mc:Choice Requires="a14">
        <xdr:sp macro="" textlink="">
          <xdr:nvSpPr>
            <xdr:cNvPr id="13957" name="TextBox 13956">
              <a:extLst>
                <a:ext uri="{FF2B5EF4-FFF2-40B4-BE49-F238E27FC236}">
                  <a16:creationId xmlns:a16="http://schemas.microsoft.com/office/drawing/2014/main" id="{00000000-0008-0000-0500-000085360000}"/>
                </a:ext>
              </a:extLst>
            </xdr:cNvPr>
            <xdr:cNvSpPr txBox="1"/>
          </xdr:nvSpPr>
          <xdr:spPr>
            <a:xfrm>
              <a:off x="95250" y="1186529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13957" name="TextBox 13956">
              <a:extLst>
                <a:ext uri="{FF2B5EF4-FFF2-40B4-BE49-F238E27FC236}">
                  <a16:creationId xmlns:a16="http://schemas.microsoft.com/office/drawing/2014/main" id="{A0BFA583-1A6C-4086-B789-12AF8AB6BBAF}"/>
                </a:ext>
              </a:extLst>
            </xdr:cNvPr>
            <xdr:cNvSpPr txBox="1"/>
          </xdr:nvSpPr>
          <xdr:spPr>
            <a:xfrm>
              <a:off x="95250" y="11865292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0</xdr:colOff>
      <xdr:row>468</xdr:row>
      <xdr:rowOff>0</xdr:rowOff>
    </xdr:from>
    <xdr:ext cx="2286000" cy="361950"/>
    <mc:AlternateContent xmlns:mc="http://schemas.openxmlformats.org/markup-compatibility/2006" xmlns:a14="http://schemas.microsoft.com/office/drawing/2010/main">
      <mc:Choice Requires="a14">
        <xdr:sp macro="" textlink="">
          <xdr:nvSpPr>
            <xdr:cNvPr id="13958" name="TextBox 13957">
              <a:extLst>
                <a:ext uri="{FF2B5EF4-FFF2-40B4-BE49-F238E27FC236}">
                  <a16:creationId xmlns:a16="http://schemas.microsoft.com/office/drawing/2014/main" id="{00000000-0008-0000-0500-000086360000}"/>
                </a:ext>
              </a:extLst>
            </xdr:cNvPr>
            <xdr:cNvSpPr txBox="1"/>
          </xdr:nvSpPr>
          <xdr:spPr>
            <a:xfrm>
              <a:off x="95250" y="1178147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solidFill>
                                      <a:schemeClr val="tx1"/>
                                    </a:solidFill>
                                    <a:effectLst/>
                                    <a:latin typeface="Cambria Math" panose="02040503050406030204" pitchFamily="18" charset="0"/>
                                    <a:ea typeface="+mn-ea"/>
                                    <a:cs typeface="+mn-cs"/>
                                  </a:rPr>
                                  <m:t>∞</m:t>
                                </m:r>
                              </m:sub>
                            </m:sSub>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13958" name="TextBox 13957">
              <a:extLst>
                <a:ext uri="{FF2B5EF4-FFF2-40B4-BE49-F238E27FC236}">
                  <a16:creationId xmlns:a16="http://schemas.microsoft.com/office/drawing/2014/main" id="{A1437B7A-2626-4FDD-878E-CBA1B8D8A2EF}"/>
                </a:ext>
              </a:extLst>
            </xdr:cNvPr>
            <xdr:cNvSpPr txBox="1"/>
          </xdr:nvSpPr>
          <xdr:spPr>
            <a:xfrm>
              <a:off x="95250" y="1178147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 )_</a:t>
              </a:r>
              <a:r>
                <a:rPr lang="it-IT" sz="1100" b="0" i="0">
                  <a:latin typeface="Cambria Math" panose="02040503050406030204" pitchFamily="18" charset="0"/>
                </a:rPr>
                <a:t>𝑒𝑓𝑓=𝐸_1 𝐽_1+𝐸_2 𝐽_2+𝐸_2 𝐴_2 𝑎_2^2+𝛾_1 𝐸_1 𝐴_1 𝑎_1^2</a:t>
              </a:r>
              <a:endParaRPr lang="it-IT" sz="1100"/>
            </a:p>
          </xdr:txBody>
        </xdr:sp>
      </mc:Fallback>
    </mc:AlternateContent>
    <xdr:clientData/>
  </xdr:oneCellAnchor>
  <xdr:oneCellAnchor>
    <xdr:from>
      <xdr:col>1</xdr:col>
      <xdr:colOff>0</xdr:colOff>
      <xdr:row>447</xdr:row>
      <xdr:rowOff>0</xdr:rowOff>
    </xdr:from>
    <xdr:ext cx="2286000" cy="361950"/>
    <mc:AlternateContent xmlns:mc="http://schemas.openxmlformats.org/markup-compatibility/2006" xmlns:a14="http://schemas.microsoft.com/office/drawing/2010/main">
      <mc:Choice Requires="a14">
        <xdr:sp macro="" textlink="">
          <xdr:nvSpPr>
            <xdr:cNvPr id="13959" name="TextBox 13958">
              <a:extLst>
                <a:ext uri="{FF2B5EF4-FFF2-40B4-BE49-F238E27FC236}">
                  <a16:creationId xmlns:a16="http://schemas.microsoft.com/office/drawing/2014/main" id="{00000000-0008-0000-0500-000087360000}"/>
                </a:ext>
              </a:extLst>
            </xdr:cNvPr>
            <xdr:cNvSpPr txBox="1"/>
          </xdr:nvSpPr>
          <xdr:spPr>
            <a:xfrm>
              <a:off x="95250" y="566070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r>
                              <a:rPr lang="it-IT" sz="1100" b="0" i="1">
                                <a:latin typeface="Cambria Math" panose="02040503050406030204" pitchFamily="18" charset="0"/>
                              </a:rPr>
                              <m:t>𝑖</m:t>
                            </m:r>
                            <m:r>
                              <a:rPr lang="it-IT" sz="1100" b="0" i="1">
                                <a:latin typeface="Cambria Math" panose="02040503050406030204" pitchFamily="18" charset="0"/>
                              </a:rPr>
                              <m:t>,</m:t>
                            </m:r>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13959" name="TextBox 13958">
              <a:extLst>
                <a:ext uri="{FF2B5EF4-FFF2-40B4-BE49-F238E27FC236}">
                  <a16:creationId xmlns:a16="http://schemas.microsoft.com/office/drawing/2014/main" id="{FA739205-1E79-463A-963E-692DA48D90FB}"/>
                </a:ext>
              </a:extLst>
            </xdr:cNvPr>
            <xdr:cNvSpPr txBox="1"/>
          </xdr:nvSpPr>
          <xdr:spPr>
            <a:xfrm>
              <a:off x="95250" y="566070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1+𝜓_(2,𝑖,𝑡=∞)⋅𝑘_𝑑𝑒𝑓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7</xdr:col>
      <xdr:colOff>0</xdr:colOff>
      <xdr:row>447</xdr:row>
      <xdr:rowOff>0</xdr:rowOff>
    </xdr:from>
    <xdr:ext cx="2286000" cy="361950"/>
    <mc:AlternateContent xmlns:mc="http://schemas.openxmlformats.org/markup-compatibility/2006" xmlns:a14="http://schemas.microsoft.com/office/drawing/2010/main">
      <mc:Choice Requires="a14">
        <xdr:sp macro="" textlink="">
          <xdr:nvSpPr>
            <xdr:cNvPr id="13960" name="TextBox 13959">
              <a:extLst>
                <a:ext uri="{FF2B5EF4-FFF2-40B4-BE49-F238E27FC236}">
                  <a16:creationId xmlns:a16="http://schemas.microsoft.com/office/drawing/2014/main" id="{00000000-0008-0000-0500-000088360000}"/>
                </a:ext>
              </a:extLst>
            </xdr:cNvPr>
            <xdr:cNvSpPr txBox="1"/>
          </xdr:nvSpPr>
          <xdr:spPr>
            <a:xfrm>
              <a:off x="95250" y="577405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𝜓</m:t>
                            </m:r>
                          </m:e>
                          <m:sub>
                            <m:r>
                              <a:rPr lang="it-IT" sz="1100" b="0" i="1">
                                <a:solidFill>
                                  <a:schemeClr val="tx1"/>
                                </a:solidFill>
                                <a:effectLst/>
                                <a:latin typeface="Cambria Math" panose="02040503050406030204" pitchFamily="18" charset="0"/>
                                <a:ea typeface="+mn-ea"/>
                                <a:cs typeface="+mn-cs"/>
                              </a:rPr>
                              <m:t>2,</m:t>
                            </m:r>
                            <m:r>
                              <a:rPr lang="it-IT" sz="1100" b="0" i="1">
                                <a:solidFill>
                                  <a:schemeClr val="tx1"/>
                                </a:solidFill>
                                <a:effectLst/>
                                <a:latin typeface="Cambria Math" panose="02040503050406030204" pitchFamily="18" charset="0"/>
                                <a:ea typeface="+mn-ea"/>
                                <a:cs typeface="+mn-cs"/>
                              </a:rPr>
                              <m:t>𝑖</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13960" name="TextBox 13959">
              <a:extLst>
                <a:ext uri="{FF2B5EF4-FFF2-40B4-BE49-F238E27FC236}">
                  <a16:creationId xmlns:a16="http://schemas.microsoft.com/office/drawing/2014/main" id="{083BC572-B345-4692-BEE1-9F4AD503F757}"/>
                </a:ext>
              </a:extLst>
            </xdr:cNvPr>
            <xdr:cNvSpPr txBox="1"/>
          </xdr:nvSpPr>
          <xdr:spPr>
            <a:xfrm>
              <a:off x="95250" y="577405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Cambria Math" panose="02040503050406030204" pitchFamily="18" charset="0"/>
                  <a:ea typeface="+mn-ea"/>
                  <a:cs typeface="+mn-cs"/>
                </a:rPr>
                <a:t>,𝑚𝑒𝑎𝑛,∞)</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𝐸_(0,𝑚𝑒𝑎𝑛)/(</a:t>
              </a:r>
              <a:r>
                <a:rPr lang="it-IT" sz="1100" b="0" i="0">
                  <a:latin typeface="Cambria Math" panose="02040503050406030204" pitchFamily="18" charset="0"/>
                </a:rPr>
                <a:t>1+</a:t>
              </a:r>
              <a:r>
                <a:rPr lang="it-IT" sz="1100" b="0" i="0">
                  <a:solidFill>
                    <a:schemeClr val="tx1"/>
                  </a:solidFill>
                  <a:effectLst/>
                  <a:latin typeface="Cambria Math" panose="02040503050406030204" pitchFamily="18" charset="0"/>
                  <a:ea typeface="+mn-ea"/>
                  <a:cs typeface="+mn-cs"/>
                </a:rPr>
                <a:t>𝜓_(2,𝑖,𝑡=∞)</a:t>
              </a:r>
              <a:r>
                <a:rPr lang="it-IT" sz="1100" b="0" i="0">
                  <a:latin typeface="Cambria Math" panose="02040503050406030204" pitchFamily="18" charset="0"/>
                </a:rPr>
                <a:t>⋅𝑘_𝑑𝑒𝑓 </a:t>
              </a:r>
              <a:r>
                <a:rPr lang="it-IT" sz="1100" b="0" i="0">
                  <a:solidFill>
                    <a:schemeClr val="tx1"/>
                  </a:solidFill>
                  <a:effectLst/>
                  <a:latin typeface="Cambria Math" panose="02040503050406030204" pitchFamily="18" charset="0"/>
                  <a:ea typeface="+mn-ea"/>
                  <a:cs typeface="+mn-cs"/>
                </a:rPr>
                <a:t>)</a:t>
              </a:r>
              <a:endParaRPr lang="it-IT" sz="1100"/>
            </a:p>
          </xdr:txBody>
        </xdr:sp>
      </mc:Fallback>
    </mc:AlternateContent>
    <xdr:clientData/>
  </xdr:oneCellAnchor>
  <xdr:oneCellAnchor>
    <xdr:from>
      <xdr:col>2</xdr:col>
      <xdr:colOff>0</xdr:colOff>
      <xdr:row>443</xdr:row>
      <xdr:rowOff>0</xdr:rowOff>
    </xdr:from>
    <xdr:ext cx="1143000" cy="361950"/>
    <mc:AlternateContent xmlns:mc="http://schemas.openxmlformats.org/markup-compatibility/2006" xmlns:a14="http://schemas.microsoft.com/office/drawing/2010/main">
      <mc:Choice Requires="a14">
        <xdr:sp macro="" textlink="">
          <xdr:nvSpPr>
            <xdr:cNvPr id="13961" name="TextBox 13960">
              <a:extLst>
                <a:ext uri="{FF2B5EF4-FFF2-40B4-BE49-F238E27FC236}">
                  <a16:creationId xmlns:a16="http://schemas.microsoft.com/office/drawing/2014/main" id="{00000000-0008-0000-0500-000089360000}"/>
                </a:ext>
              </a:extLst>
            </xdr:cNvPr>
            <xdr:cNvSpPr txBox="1"/>
          </xdr:nvSpPr>
          <xdr:spPr>
            <a:xfrm>
              <a:off x="1238250" y="123767850"/>
              <a:ext cx="1143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𝑠𝑒𝑟</m:t>
                        </m:r>
                        <m:r>
                          <a:rPr lang="it-IT" sz="1100" b="0" i="1">
                            <a:latin typeface="Cambria Math" panose="02040503050406030204" pitchFamily="18" charset="0"/>
                          </a:rPr>
                          <m:t>,∞</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𝑠𝑒𝑟</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13961" name="TextBox 13960">
              <a:extLst>
                <a:ext uri="{FF2B5EF4-FFF2-40B4-BE49-F238E27FC236}">
                  <a16:creationId xmlns:a16="http://schemas.microsoft.com/office/drawing/2014/main" id="{43542E5F-775A-4E8C-A95B-EBB5CC283241}"/>
                </a:ext>
              </a:extLst>
            </xdr:cNvPr>
            <xdr:cNvSpPr txBox="1"/>
          </xdr:nvSpPr>
          <xdr:spPr>
            <a:xfrm>
              <a:off x="1238250" y="123767850"/>
              <a:ext cx="1143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𝐾_(𝑠𝑒𝑟,</a:t>
              </a:r>
              <a:r>
                <a:rPr lang="it-IT" sz="1100" b="0" i="0">
                  <a:solidFill>
                    <a:schemeClr val="tx1"/>
                  </a:solidFill>
                  <a:effectLst/>
                  <a:latin typeface="+mn-lt"/>
                  <a:ea typeface="+mn-ea"/>
                  <a:cs typeface="+mn-cs"/>
                </a:rPr>
                <a:t>∞</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=𝐾_𝑠𝑒𝑟/(1+𝑘_𝑑𝑒𝑓 )</a:t>
              </a:r>
              <a:endParaRPr lang="it-IT" sz="1100"/>
            </a:p>
          </xdr:txBody>
        </xdr:sp>
      </mc:Fallback>
    </mc:AlternateContent>
    <xdr:clientData/>
  </xdr:oneCellAnchor>
  <xdr:oneCellAnchor>
    <xdr:from>
      <xdr:col>1</xdr:col>
      <xdr:colOff>0</xdr:colOff>
      <xdr:row>479</xdr:row>
      <xdr:rowOff>0</xdr:rowOff>
    </xdr:from>
    <xdr:ext cx="2286000" cy="361950"/>
    <mc:AlternateContent xmlns:mc="http://schemas.openxmlformats.org/markup-compatibility/2006" xmlns:a14="http://schemas.microsoft.com/office/drawing/2010/main">
      <mc:Choice Requires="a14">
        <xdr:sp macro="" textlink="">
          <xdr:nvSpPr>
            <xdr:cNvPr id="13963" name="TextBox 13962">
              <a:extLst>
                <a:ext uri="{FF2B5EF4-FFF2-40B4-BE49-F238E27FC236}">
                  <a16:creationId xmlns:a16="http://schemas.microsoft.com/office/drawing/2014/main" id="{00000000-0008-0000-0500-00008B360000}"/>
                </a:ext>
              </a:extLst>
            </xdr:cNvPr>
            <xdr:cNvSpPr txBox="1"/>
          </xdr:nvSpPr>
          <xdr:spPr>
            <a:xfrm>
              <a:off x="95250" y="1306163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𝑔</m:t>
                        </m:r>
                        <m:r>
                          <a:rPr lang="it-IT" sz="1100" b="0" i="1">
                            <a:latin typeface="Cambria Math" panose="02040503050406030204" pitchFamily="18" charset="0"/>
                          </a:rPr>
                          <m:t>,</m:t>
                        </m:r>
                        <m:r>
                          <a:rPr lang="it-IT" sz="1100" b="0" i="1">
                            <a:latin typeface="Cambria Math" panose="02040503050406030204" pitchFamily="18" charset="0"/>
                          </a:rPr>
                          <m:t>𝑖𝑛𝑠𝑡</m:t>
                        </m:r>
                      </m:sub>
                    </m:sSub>
                    <m:r>
                      <a:rPr lang="it-IT" sz="1100" b="0" i="1">
                        <a:latin typeface="Cambria Math" panose="02040503050406030204" pitchFamily="18" charset="0"/>
                      </a:rPr>
                      <m:t>=1,1⋅</m:t>
                    </m:r>
                    <m:f>
                      <m:fPr>
                        <m:ctrlPr>
                          <a:rPr lang="it-IT" sz="1100" b="0" i="1">
                            <a:latin typeface="Cambria Math" panose="02040503050406030204" pitchFamily="18" charset="0"/>
                          </a:rPr>
                        </m:ctrlPr>
                      </m:fPr>
                      <m:num>
                        <m:r>
                          <a:rPr lang="it-IT" sz="1100" b="0" i="1">
                            <a:latin typeface="Cambria Math" panose="02040503050406030204" pitchFamily="18" charset="0"/>
                          </a:rPr>
                          <m:t>5</m:t>
                        </m:r>
                      </m:num>
                      <m:den>
                        <m:r>
                          <a:rPr lang="it-IT" sz="1100" b="0" i="1">
                            <a:latin typeface="Cambria Math" panose="02040503050406030204" pitchFamily="18" charset="0"/>
                          </a:rPr>
                          <m:t>384</m:t>
                        </m:r>
                      </m:den>
                    </m:f>
                    <m:f>
                      <m:fPr>
                        <m:ctrlPr>
                          <a:rPr lang="it-IT" sz="1100" b="0" i="1">
                            <a:latin typeface="Cambria Math" panose="02040503050406030204" pitchFamily="18" charset="0"/>
                          </a:rPr>
                        </m:ctrlPr>
                      </m:fPr>
                      <m:num>
                        <m:r>
                          <a:rPr lang="it-IT" sz="1100" b="0" i="1">
                            <a:latin typeface="Cambria Math" panose="02040503050406030204" pitchFamily="18" charset="0"/>
                          </a:rPr>
                          <m:t>𝑔</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a:rPr lang="it-IT" sz="1100" b="0" i="1">
                                <a:latin typeface="Cambria Math" panose="02040503050406030204" pitchFamily="18" charset="0"/>
                              </a:rPr>
                              <m:t>𝑙</m:t>
                            </m:r>
                          </m:e>
                          <m:sup>
                            <m:r>
                              <a:rPr lang="it-IT" sz="1100" b="0" i="1">
                                <a:latin typeface="Cambria Math" panose="02040503050406030204" pitchFamily="18" charset="0"/>
                              </a:rPr>
                              <m:t>4</m:t>
                            </m:r>
                          </m:sup>
                        </m:sSup>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𝐽</m:t>
                                    </m:r>
                                  </m:e>
                                  <m:sub>
                                    <m:r>
                                      <a:rPr lang="it-IT" sz="1100" b="0" i="1">
                                        <a:solidFill>
                                          <a:schemeClr val="tx1"/>
                                        </a:solidFill>
                                        <a:effectLst/>
                                        <a:latin typeface="Cambria Math" panose="02040503050406030204" pitchFamily="18" charset="0"/>
                                        <a:ea typeface="+mn-ea"/>
                                        <a:cs typeface="+mn-cs"/>
                                      </a:rPr>
                                      <m:t>0</m:t>
                                    </m:r>
                                  </m:sub>
                                </m:sSub>
                              </m:e>
                            </m:d>
                          </m:e>
                          <m:sub>
                            <m:r>
                              <a:rPr lang="it-IT" sz="1100" b="0" i="1">
                                <a:solidFill>
                                  <a:schemeClr val="tx1"/>
                                </a:solidFill>
                                <a:effectLst/>
                                <a:latin typeface="Cambria Math" panose="02040503050406030204" pitchFamily="18" charset="0"/>
                                <a:ea typeface="+mn-ea"/>
                                <a:cs typeface="+mn-cs"/>
                              </a:rPr>
                              <m:t>𝑒𝑓𝑓</m:t>
                            </m:r>
                          </m:sub>
                        </m:sSub>
                      </m:den>
                    </m:f>
                  </m:oMath>
                </m:oMathPara>
              </a14:m>
              <a:endParaRPr lang="it-IT" sz="1100"/>
            </a:p>
          </xdr:txBody>
        </xdr:sp>
      </mc:Choice>
      <mc:Fallback xmlns="">
        <xdr:sp macro="" textlink="">
          <xdr:nvSpPr>
            <xdr:cNvPr id="13963" name="TextBox 13962">
              <a:extLst>
                <a:ext uri="{FF2B5EF4-FFF2-40B4-BE49-F238E27FC236}">
                  <a16:creationId xmlns:a16="http://schemas.microsoft.com/office/drawing/2014/main" id="{AF654E31-E1A6-C677-DCBA-3B9CA3173D43}"/>
                </a:ext>
              </a:extLst>
            </xdr:cNvPr>
            <xdr:cNvSpPr txBox="1"/>
          </xdr:nvSpPr>
          <xdr:spPr>
            <a:xfrm>
              <a:off x="95250" y="1306163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𝑢_(𝑔,𝑖𝑛𝑠𝑡)=1,1⋅5/384  (𝑔⋅𝑙^4)/</a:t>
              </a:r>
              <a:r>
                <a:rPr lang="it-IT" sz="1100" b="0" i="0">
                  <a:solidFill>
                    <a:schemeClr val="tx1"/>
                  </a:solidFill>
                  <a:effectLst/>
                  <a:latin typeface="+mn-lt"/>
                  <a:ea typeface="+mn-ea"/>
                  <a:cs typeface="+mn-cs"/>
                </a:rPr>
                <a:t>(𝐸𝐽_0 )_𝑒𝑓𝑓</a:t>
              </a:r>
              <a:r>
                <a:rPr lang="it-IT" sz="1100" b="0" i="0">
                  <a:solidFill>
                    <a:schemeClr val="tx1"/>
                  </a:solidFill>
                  <a:effectLst/>
                  <a:latin typeface="Cambria Math" panose="02040503050406030204" pitchFamily="18" charset="0"/>
                  <a:ea typeface="+mn-ea"/>
                  <a:cs typeface="+mn-cs"/>
                </a:rPr>
                <a:t> </a:t>
              </a:r>
              <a:endParaRPr lang="it-IT" sz="1100"/>
            </a:p>
          </xdr:txBody>
        </xdr:sp>
      </mc:Fallback>
    </mc:AlternateContent>
    <xdr:clientData/>
  </xdr:oneCellAnchor>
  <xdr:oneCellAnchor>
    <xdr:from>
      <xdr:col>7</xdr:col>
      <xdr:colOff>0</xdr:colOff>
      <xdr:row>479</xdr:row>
      <xdr:rowOff>0</xdr:rowOff>
    </xdr:from>
    <xdr:ext cx="2286000" cy="361950"/>
    <mc:AlternateContent xmlns:mc="http://schemas.openxmlformats.org/markup-compatibility/2006" xmlns:a14="http://schemas.microsoft.com/office/drawing/2010/main">
      <mc:Choice Requires="a14">
        <xdr:sp macro="" textlink="">
          <xdr:nvSpPr>
            <xdr:cNvPr id="13965" name="TextBox 13964">
              <a:extLst>
                <a:ext uri="{FF2B5EF4-FFF2-40B4-BE49-F238E27FC236}">
                  <a16:creationId xmlns:a16="http://schemas.microsoft.com/office/drawing/2014/main" id="{00000000-0008-0000-0500-00008D360000}"/>
                </a:ext>
              </a:extLst>
            </xdr:cNvPr>
            <xdr:cNvSpPr txBox="1"/>
          </xdr:nvSpPr>
          <xdr:spPr>
            <a:xfrm>
              <a:off x="95250" y="1308068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𝑔𝑓𝑖𝑛</m:t>
                        </m:r>
                      </m:sub>
                    </m:sSub>
                    <m:r>
                      <a:rPr lang="it-IT" sz="1100" b="0" i="1">
                        <a:latin typeface="Cambria Math" panose="02040503050406030204" pitchFamily="18" charset="0"/>
                      </a:rPr>
                      <m:t>=1,1⋅</m:t>
                    </m:r>
                    <m:f>
                      <m:fPr>
                        <m:ctrlPr>
                          <a:rPr lang="it-IT" sz="1100" b="0" i="1">
                            <a:latin typeface="Cambria Math" panose="02040503050406030204" pitchFamily="18" charset="0"/>
                          </a:rPr>
                        </m:ctrlPr>
                      </m:fPr>
                      <m:num>
                        <m:r>
                          <a:rPr lang="it-IT" sz="1100" b="0" i="1">
                            <a:latin typeface="Cambria Math" panose="02040503050406030204" pitchFamily="18" charset="0"/>
                          </a:rPr>
                          <m:t>5</m:t>
                        </m:r>
                      </m:num>
                      <m:den>
                        <m:r>
                          <a:rPr lang="it-IT" sz="1100" b="0" i="1">
                            <a:latin typeface="Cambria Math" panose="02040503050406030204" pitchFamily="18" charset="0"/>
                          </a:rPr>
                          <m:t>384</m:t>
                        </m:r>
                      </m:den>
                    </m:f>
                    <m:f>
                      <m:fPr>
                        <m:ctrlPr>
                          <a:rPr lang="it-IT" sz="1100" b="0" i="1">
                            <a:latin typeface="Cambria Math" panose="02040503050406030204" pitchFamily="18" charset="0"/>
                          </a:rPr>
                        </m:ctrlPr>
                      </m:fPr>
                      <m:num>
                        <m:r>
                          <a:rPr lang="it-IT" sz="1100" b="0" i="1">
                            <a:latin typeface="Cambria Math" panose="02040503050406030204" pitchFamily="18" charset="0"/>
                          </a:rPr>
                          <m:t>𝑔</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a:rPr lang="it-IT" sz="1100" b="0" i="1">
                                <a:latin typeface="Cambria Math" panose="02040503050406030204" pitchFamily="18" charset="0"/>
                              </a:rPr>
                              <m:t>𝑙</m:t>
                            </m:r>
                          </m:e>
                          <m:sup>
                            <m:r>
                              <a:rPr lang="it-IT" sz="1100" b="0" i="1">
                                <a:latin typeface="Cambria Math" panose="02040503050406030204" pitchFamily="18" charset="0"/>
                              </a:rPr>
                              <m:t>4</m:t>
                            </m:r>
                          </m:sup>
                        </m:sSup>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𝐽</m:t>
                                    </m:r>
                                  </m:e>
                                  <m:sub>
                                    <m:r>
                                      <a:rPr lang="it-IT" sz="1100" b="0" i="1">
                                        <a:solidFill>
                                          <a:schemeClr val="tx1"/>
                                        </a:solidFill>
                                        <a:effectLst/>
                                        <a:latin typeface="Cambria Math" panose="02040503050406030204" pitchFamily="18" charset="0"/>
                                        <a:ea typeface="+mn-ea"/>
                                        <a:cs typeface="+mn-cs"/>
                                      </a:rPr>
                                      <m:t>0</m:t>
                                    </m:r>
                                  </m:sub>
                                </m:sSub>
                              </m:e>
                            </m:d>
                          </m:e>
                          <m:sub>
                            <m:r>
                              <a:rPr lang="it-IT" sz="1100" b="0" i="1">
                                <a:solidFill>
                                  <a:schemeClr val="tx1"/>
                                </a:solidFill>
                                <a:effectLst/>
                                <a:latin typeface="Cambria Math" panose="02040503050406030204" pitchFamily="18" charset="0"/>
                                <a:ea typeface="+mn-ea"/>
                                <a:cs typeface="+mn-cs"/>
                              </a:rPr>
                              <m:t>𝑒𝑓𝑓</m:t>
                            </m:r>
                          </m:sub>
                        </m:sSub>
                      </m:den>
                    </m:f>
                  </m:oMath>
                </m:oMathPara>
              </a14:m>
              <a:endParaRPr lang="it-IT" sz="1100"/>
            </a:p>
          </xdr:txBody>
        </xdr:sp>
      </mc:Choice>
      <mc:Fallback xmlns="">
        <xdr:sp macro="" textlink="">
          <xdr:nvSpPr>
            <xdr:cNvPr id="13965" name="TextBox 13964">
              <a:extLst>
                <a:ext uri="{FF2B5EF4-FFF2-40B4-BE49-F238E27FC236}">
                  <a16:creationId xmlns:a16="http://schemas.microsoft.com/office/drawing/2014/main" id="{F492BCD6-F130-4F66-A4C0-554A78702018}"/>
                </a:ext>
              </a:extLst>
            </xdr:cNvPr>
            <xdr:cNvSpPr txBox="1"/>
          </xdr:nvSpPr>
          <xdr:spPr>
            <a:xfrm>
              <a:off x="95250" y="1308068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𝑢_𝑔𝑓𝑖𝑛=1,1⋅5/384  (𝑔⋅𝑙^4)/</a:t>
              </a:r>
              <a:r>
                <a:rPr lang="it-IT" sz="1100" b="0" i="0">
                  <a:solidFill>
                    <a:schemeClr val="tx1"/>
                  </a:solidFill>
                  <a:effectLst/>
                  <a:latin typeface="+mn-lt"/>
                  <a:ea typeface="+mn-ea"/>
                  <a:cs typeface="+mn-cs"/>
                </a:rPr>
                <a:t>(𝐸𝐽_0 )_𝑒𝑓𝑓</a:t>
              </a:r>
              <a:r>
                <a:rPr lang="it-IT" sz="1100" b="0" i="0">
                  <a:solidFill>
                    <a:schemeClr val="tx1"/>
                  </a:solidFill>
                  <a:effectLst/>
                  <a:latin typeface="Cambria Math" panose="02040503050406030204" pitchFamily="18" charset="0"/>
                  <a:ea typeface="+mn-ea"/>
                  <a:cs typeface="+mn-cs"/>
                </a:rPr>
                <a:t> </a:t>
              </a:r>
              <a:endParaRPr lang="it-IT" sz="1100"/>
            </a:p>
          </xdr:txBody>
        </xdr:sp>
      </mc:Fallback>
    </mc:AlternateContent>
    <xdr:clientData/>
  </xdr:oneCellAnchor>
  <xdr:oneCellAnchor>
    <xdr:from>
      <xdr:col>1</xdr:col>
      <xdr:colOff>0</xdr:colOff>
      <xdr:row>482</xdr:row>
      <xdr:rowOff>0</xdr:rowOff>
    </xdr:from>
    <xdr:ext cx="2286000" cy="361950"/>
    <mc:AlternateContent xmlns:mc="http://schemas.openxmlformats.org/markup-compatibility/2006" xmlns:a14="http://schemas.microsoft.com/office/drawing/2010/main">
      <mc:Choice Requires="a14">
        <xdr:sp macro="" textlink="">
          <xdr:nvSpPr>
            <xdr:cNvPr id="13968" name="TextBox 13967">
              <a:extLst>
                <a:ext uri="{FF2B5EF4-FFF2-40B4-BE49-F238E27FC236}">
                  <a16:creationId xmlns:a16="http://schemas.microsoft.com/office/drawing/2014/main" id="{00000000-0008-0000-0500-000090360000}"/>
                </a:ext>
              </a:extLst>
            </xdr:cNvPr>
            <xdr:cNvSpPr txBox="1"/>
          </xdr:nvSpPr>
          <xdr:spPr>
            <a:xfrm>
              <a:off x="95250" y="1308068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𝑞</m:t>
                        </m:r>
                        <m:r>
                          <a:rPr lang="it-IT" sz="1100" b="0" i="1">
                            <a:latin typeface="Cambria Math" panose="02040503050406030204" pitchFamily="18" charset="0"/>
                          </a:rPr>
                          <m:t>,</m:t>
                        </m:r>
                        <m:r>
                          <a:rPr lang="it-IT" sz="1100" b="0" i="1">
                            <a:latin typeface="Cambria Math" panose="02040503050406030204" pitchFamily="18" charset="0"/>
                          </a:rPr>
                          <m:t>𝑖𝑛𝑠𝑡</m:t>
                        </m:r>
                      </m:sub>
                    </m:sSub>
                    <m:r>
                      <a:rPr lang="it-IT" sz="1100" b="0" i="1">
                        <a:latin typeface="Cambria Math" panose="02040503050406030204" pitchFamily="18" charset="0"/>
                      </a:rPr>
                      <m:t>=1,1⋅</m:t>
                    </m:r>
                    <m:f>
                      <m:fPr>
                        <m:ctrlPr>
                          <a:rPr lang="it-IT" sz="1100" b="0" i="1">
                            <a:latin typeface="Cambria Math" panose="02040503050406030204" pitchFamily="18" charset="0"/>
                          </a:rPr>
                        </m:ctrlPr>
                      </m:fPr>
                      <m:num>
                        <m:r>
                          <a:rPr lang="it-IT" sz="1100" b="0" i="1">
                            <a:latin typeface="Cambria Math" panose="02040503050406030204" pitchFamily="18" charset="0"/>
                          </a:rPr>
                          <m:t>5</m:t>
                        </m:r>
                      </m:num>
                      <m:den>
                        <m:r>
                          <a:rPr lang="it-IT" sz="1100" b="0" i="1">
                            <a:latin typeface="Cambria Math" panose="02040503050406030204" pitchFamily="18" charset="0"/>
                          </a:rPr>
                          <m:t>384</m:t>
                        </m:r>
                      </m:den>
                    </m:f>
                    <m:f>
                      <m:fPr>
                        <m:ctrlPr>
                          <a:rPr lang="it-IT" sz="1100" b="0" i="1">
                            <a:latin typeface="Cambria Math" panose="02040503050406030204" pitchFamily="18" charset="0"/>
                          </a:rPr>
                        </m:ctrlPr>
                      </m:fPr>
                      <m:num>
                        <m:r>
                          <a:rPr lang="it-IT" sz="1100" b="0" i="1">
                            <a:latin typeface="Cambria Math" panose="02040503050406030204" pitchFamily="18" charset="0"/>
                          </a:rPr>
                          <m:t>𝑞</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a:rPr lang="it-IT" sz="1100" b="0" i="1">
                                <a:latin typeface="Cambria Math" panose="02040503050406030204" pitchFamily="18" charset="0"/>
                              </a:rPr>
                              <m:t>𝑙</m:t>
                            </m:r>
                          </m:e>
                          <m:sup>
                            <m:r>
                              <a:rPr lang="it-IT" sz="1100" b="0" i="1">
                                <a:latin typeface="Cambria Math" panose="02040503050406030204" pitchFamily="18" charset="0"/>
                              </a:rPr>
                              <m:t>4</m:t>
                            </m:r>
                          </m:sup>
                        </m:sSup>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𝐽</m:t>
                                    </m:r>
                                  </m:e>
                                  <m:sub>
                                    <m:r>
                                      <a:rPr lang="it-IT" sz="1100" b="0" i="1">
                                        <a:solidFill>
                                          <a:schemeClr val="tx1"/>
                                        </a:solidFill>
                                        <a:effectLst/>
                                        <a:latin typeface="Cambria Math" panose="02040503050406030204" pitchFamily="18" charset="0"/>
                                        <a:ea typeface="+mn-ea"/>
                                        <a:cs typeface="+mn-cs"/>
                                      </a:rPr>
                                      <m:t>0</m:t>
                                    </m:r>
                                  </m:sub>
                                </m:sSub>
                              </m:e>
                            </m:d>
                          </m:e>
                          <m:sub>
                            <m:r>
                              <a:rPr lang="it-IT" sz="1100" b="0" i="1">
                                <a:solidFill>
                                  <a:schemeClr val="tx1"/>
                                </a:solidFill>
                                <a:effectLst/>
                                <a:latin typeface="Cambria Math" panose="02040503050406030204" pitchFamily="18" charset="0"/>
                                <a:ea typeface="+mn-ea"/>
                                <a:cs typeface="+mn-cs"/>
                              </a:rPr>
                              <m:t>𝑒𝑓𝑓</m:t>
                            </m:r>
                          </m:sub>
                        </m:sSub>
                      </m:den>
                    </m:f>
                  </m:oMath>
                </m:oMathPara>
              </a14:m>
              <a:endParaRPr lang="it-IT" sz="1100"/>
            </a:p>
          </xdr:txBody>
        </xdr:sp>
      </mc:Choice>
      <mc:Fallback xmlns="">
        <xdr:sp macro="" textlink="">
          <xdr:nvSpPr>
            <xdr:cNvPr id="13968" name="TextBox 13967">
              <a:extLst>
                <a:ext uri="{FF2B5EF4-FFF2-40B4-BE49-F238E27FC236}">
                  <a16:creationId xmlns:a16="http://schemas.microsoft.com/office/drawing/2014/main" id="{824EFEAA-A8DB-444C-BA29-5700736D3552}"/>
                </a:ext>
              </a:extLst>
            </xdr:cNvPr>
            <xdr:cNvSpPr txBox="1"/>
          </xdr:nvSpPr>
          <xdr:spPr>
            <a:xfrm>
              <a:off x="95250" y="1308068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𝑢_(𝑞,𝑖𝑛𝑠𝑡)=1,1⋅5/384  (𝑞⋅𝑙^4)/</a:t>
              </a:r>
              <a:r>
                <a:rPr lang="it-IT" sz="1100" b="0" i="0">
                  <a:solidFill>
                    <a:schemeClr val="tx1"/>
                  </a:solidFill>
                  <a:effectLst/>
                  <a:latin typeface="+mn-lt"/>
                  <a:ea typeface="+mn-ea"/>
                  <a:cs typeface="+mn-cs"/>
                </a:rPr>
                <a:t>(𝐸𝐽_0 )_𝑒𝑓𝑓</a:t>
              </a:r>
              <a:r>
                <a:rPr lang="it-IT" sz="1100" b="0" i="0">
                  <a:solidFill>
                    <a:schemeClr val="tx1"/>
                  </a:solidFill>
                  <a:effectLst/>
                  <a:latin typeface="Cambria Math" panose="02040503050406030204" pitchFamily="18" charset="0"/>
                  <a:ea typeface="+mn-ea"/>
                  <a:cs typeface="+mn-cs"/>
                </a:rPr>
                <a:t> </a:t>
              </a:r>
              <a:endParaRPr lang="it-IT" sz="1100"/>
            </a:p>
          </xdr:txBody>
        </xdr:sp>
      </mc:Fallback>
    </mc:AlternateContent>
    <xdr:clientData/>
  </xdr:oneCellAnchor>
  <xdr:oneCellAnchor>
    <xdr:from>
      <xdr:col>7</xdr:col>
      <xdr:colOff>0</xdr:colOff>
      <xdr:row>482</xdr:row>
      <xdr:rowOff>0</xdr:rowOff>
    </xdr:from>
    <xdr:ext cx="2286000" cy="361950"/>
    <mc:AlternateContent xmlns:mc="http://schemas.openxmlformats.org/markup-compatibility/2006" xmlns:a14="http://schemas.microsoft.com/office/drawing/2010/main">
      <mc:Choice Requires="a14">
        <xdr:sp macro="" textlink="">
          <xdr:nvSpPr>
            <xdr:cNvPr id="13969" name="TextBox 13968">
              <a:extLst>
                <a:ext uri="{FF2B5EF4-FFF2-40B4-BE49-F238E27FC236}">
                  <a16:creationId xmlns:a16="http://schemas.microsoft.com/office/drawing/2014/main" id="{00000000-0008-0000-0500-000091360000}"/>
                </a:ext>
              </a:extLst>
            </xdr:cNvPr>
            <xdr:cNvSpPr txBox="1"/>
          </xdr:nvSpPr>
          <xdr:spPr>
            <a:xfrm>
              <a:off x="3810000" y="1308068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𝑔</m:t>
                        </m:r>
                        <m:r>
                          <a:rPr lang="it-IT" sz="1100" b="0" i="1">
                            <a:latin typeface="Cambria Math" panose="02040503050406030204" pitchFamily="18" charset="0"/>
                          </a:rPr>
                          <m:t>,</m:t>
                        </m:r>
                        <m:r>
                          <a:rPr lang="it-IT" sz="1100" b="0" i="1">
                            <a:latin typeface="Cambria Math" panose="02040503050406030204" pitchFamily="18" charset="0"/>
                          </a:rPr>
                          <m:t>𝑓𝑖𝑛</m:t>
                        </m:r>
                      </m:sub>
                    </m:sSub>
                    <m:r>
                      <a:rPr lang="it-IT" sz="1100" b="0" i="1">
                        <a:latin typeface="Cambria Math" panose="02040503050406030204" pitchFamily="18" charset="0"/>
                      </a:rPr>
                      <m:t>=1,1⋅</m:t>
                    </m:r>
                    <m:f>
                      <m:fPr>
                        <m:ctrlPr>
                          <a:rPr lang="it-IT" sz="1100" b="0" i="1">
                            <a:latin typeface="Cambria Math" panose="02040503050406030204" pitchFamily="18" charset="0"/>
                          </a:rPr>
                        </m:ctrlPr>
                      </m:fPr>
                      <m:num>
                        <m:r>
                          <a:rPr lang="it-IT" sz="1100" b="0" i="1">
                            <a:latin typeface="Cambria Math" panose="02040503050406030204" pitchFamily="18" charset="0"/>
                          </a:rPr>
                          <m:t>5</m:t>
                        </m:r>
                      </m:num>
                      <m:den>
                        <m:r>
                          <a:rPr lang="it-IT" sz="1100" b="0" i="1">
                            <a:latin typeface="Cambria Math" panose="02040503050406030204" pitchFamily="18" charset="0"/>
                          </a:rPr>
                          <m:t>384</m:t>
                        </m:r>
                      </m:den>
                    </m:f>
                    <m:f>
                      <m:fPr>
                        <m:ctrlPr>
                          <a:rPr lang="it-IT" sz="1100" b="0" i="1">
                            <a:latin typeface="Cambria Math" panose="02040503050406030204" pitchFamily="18" charset="0"/>
                          </a:rPr>
                        </m:ctrlPr>
                      </m:fPr>
                      <m:num>
                        <m:r>
                          <a:rPr lang="it-IT" sz="1100" b="0" i="1">
                            <a:latin typeface="Cambria Math" panose="02040503050406030204" pitchFamily="18" charset="0"/>
                          </a:rPr>
                          <m:t>𝑔</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a:rPr lang="it-IT" sz="1100" b="0" i="1">
                                <a:latin typeface="Cambria Math" panose="02040503050406030204" pitchFamily="18" charset="0"/>
                              </a:rPr>
                              <m:t>𝑙</m:t>
                            </m:r>
                          </m:e>
                          <m:sup>
                            <m:r>
                              <a:rPr lang="it-IT" sz="1100" b="0" i="1">
                                <a:latin typeface="Cambria Math" panose="02040503050406030204" pitchFamily="18" charset="0"/>
                              </a:rPr>
                              <m:t>4</m:t>
                            </m:r>
                          </m:sup>
                        </m:sSup>
                      </m:num>
                      <m:den>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𝐽</m:t>
                                    </m:r>
                                  </m:e>
                                  <m:sub>
                                    <m:r>
                                      <a:rPr lang="it-IT" sz="1100" b="0" i="1">
                                        <a:solidFill>
                                          <a:schemeClr val="tx1"/>
                                        </a:solidFill>
                                        <a:effectLst/>
                                        <a:latin typeface="Cambria Math" panose="02040503050406030204" pitchFamily="18" charset="0"/>
                                        <a:ea typeface="+mn-ea"/>
                                        <a:cs typeface="+mn-cs"/>
                                      </a:rPr>
                                      <m:t>0</m:t>
                                    </m:r>
                                  </m:sub>
                                </m:sSub>
                              </m:e>
                            </m:d>
                          </m:e>
                          <m:sub>
                            <m:r>
                              <a:rPr lang="it-IT" sz="1100" b="0" i="1">
                                <a:solidFill>
                                  <a:schemeClr val="tx1"/>
                                </a:solidFill>
                                <a:effectLst/>
                                <a:latin typeface="Cambria Math" panose="02040503050406030204" pitchFamily="18" charset="0"/>
                                <a:ea typeface="+mn-ea"/>
                                <a:cs typeface="+mn-cs"/>
                              </a:rPr>
                              <m:t>𝑒𝑓𝑓</m:t>
                            </m:r>
                          </m:sub>
                        </m:sSub>
                      </m:den>
                    </m:f>
                  </m:oMath>
                </m:oMathPara>
              </a14:m>
              <a:endParaRPr lang="it-IT" sz="1100"/>
            </a:p>
          </xdr:txBody>
        </xdr:sp>
      </mc:Choice>
      <mc:Fallback xmlns="">
        <xdr:sp macro="" textlink="">
          <xdr:nvSpPr>
            <xdr:cNvPr id="13969" name="TextBox 13968">
              <a:extLst>
                <a:ext uri="{FF2B5EF4-FFF2-40B4-BE49-F238E27FC236}">
                  <a16:creationId xmlns:a16="http://schemas.microsoft.com/office/drawing/2014/main" id="{BE8798C2-8BDF-4F85-95EF-3E11147E1705}"/>
                </a:ext>
              </a:extLst>
            </xdr:cNvPr>
            <xdr:cNvSpPr txBox="1"/>
          </xdr:nvSpPr>
          <xdr:spPr>
            <a:xfrm>
              <a:off x="3810000" y="1308068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𝑢_(𝑔,𝑓𝑖𝑛)=1,1⋅5/384  (𝑔⋅𝑙^4)/</a:t>
              </a:r>
              <a:r>
                <a:rPr lang="it-IT" sz="1100" b="0" i="0">
                  <a:solidFill>
                    <a:schemeClr val="tx1"/>
                  </a:solidFill>
                  <a:effectLst/>
                  <a:latin typeface="+mn-lt"/>
                  <a:ea typeface="+mn-ea"/>
                  <a:cs typeface="+mn-cs"/>
                </a:rPr>
                <a:t>(𝐸𝐽_0 )_𝑒𝑓𝑓</a:t>
              </a:r>
              <a:r>
                <a:rPr lang="it-IT" sz="1100" b="0" i="0">
                  <a:solidFill>
                    <a:schemeClr val="tx1"/>
                  </a:solidFill>
                  <a:effectLst/>
                  <a:latin typeface="Cambria Math" panose="02040503050406030204" pitchFamily="18" charset="0"/>
                  <a:ea typeface="+mn-ea"/>
                  <a:cs typeface="+mn-cs"/>
                </a:rPr>
                <a:t> </a:t>
              </a:r>
              <a:endParaRPr lang="it-IT" sz="1100"/>
            </a:p>
          </xdr:txBody>
        </xdr:sp>
      </mc:Fallback>
    </mc:AlternateContent>
    <xdr:clientData/>
  </xdr:oneCellAnchor>
  <xdr:oneCellAnchor>
    <xdr:from>
      <xdr:col>2</xdr:col>
      <xdr:colOff>0</xdr:colOff>
      <xdr:row>500</xdr:row>
      <xdr:rowOff>95249</xdr:rowOff>
    </xdr:from>
    <xdr:ext cx="1143000" cy="485775"/>
    <mc:AlternateContent xmlns:mc="http://schemas.openxmlformats.org/markup-compatibility/2006" xmlns:a14="http://schemas.microsoft.com/office/drawing/2010/main">
      <mc:Choice Requires="a14">
        <xdr:sp macro="" textlink="">
          <xdr:nvSpPr>
            <xdr:cNvPr id="13970" name="TextBox 13969">
              <a:extLst>
                <a:ext uri="{FF2B5EF4-FFF2-40B4-BE49-F238E27FC236}">
                  <a16:creationId xmlns:a16="http://schemas.microsoft.com/office/drawing/2014/main" id="{00000000-0008-0000-0500-000092360000}"/>
                </a:ext>
              </a:extLst>
            </xdr:cNvPr>
            <xdr:cNvSpPr txBox="1"/>
          </xdr:nvSpPr>
          <xdr:spPr>
            <a:xfrm>
              <a:off x="1238250" y="137198099"/>
              <a:ext cx="1143000"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it-IT" sz="1100" b="0" i="1">
                        <a:latin typeface="Cambria Math" panose="02040503050406030204" pitchFamily="18" charset="0"/>
                      </a:rPr>
                      <m:t>𝑤</m:t>
                    </m:r>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𝑄</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a:rPr lang="it-IT" sz="1100" b="0" i="1">
                                <a:latin typeface="Cambria Math" panose="02040503050406030204" pitchFamily="18" charset="0"/>
                              </a:rPr>
                              <m:t>𝑙</m:t>
                            </m:r>
                          </m:e>
                          <m:sup>
                            <m:r>
                              <a:rPr lang="it-IT" sz="1100" b="0" i="1">
                                <a:latin typeface="Cambria Math" panose="02040503050406030204" pitchFamily="18" charset="0"/>
                              </a:rPr>
                              <m:t>3</m:t>
                            </m:r>
                          </m:sup>
                        </m:sSup>
                      </m:num>
                      <m:den>
                        <m:r>
                          <a:rPr lang="it-IT" sz="1100" b="0" i="1">
                            <a:latin typeface="Cambria Math" panose="02040503050406030204" pitchFamily="18" charset="0"/>
                          </a:rPr>
                          <m:t>48⋅</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𝑏</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𝑏</m:t>
                            </m:r>
                          </m:e>
                          <m:sub>
                            <m:r>
                              <a:rPr lang="it-IT" sz="1100" b="0" i="1">
                                <a:latin typeface="Cambria Math" panose="02040503050406030204" pitchFamily="18" charset="0"/>
                              </a:rPr>
                              <m:t>𝑚</m:t>
                            </m:r>
                          </m:sub>
                        </m:sSub>
                      </m:den>
                    </m:f>
                  </m:oMath>
                </m:oMathPara>
              </a14:m>
              <a:endParaRPr lang="it-IT" sz="1100"/>
            </a:p>
          </xdr:txBody>
        </xdr:sp>
      </mc:Choice>
      <mc:Fallback xmlns="">
        <xdr:sp macro="" textlink="">
          <xdr:nvSpPr>
            <xdr:cNvPr id="13970" name="TextBox 13969">
              <a:extLst>
                <a:ext uri="{FF2B5EF4-FFF2-40B4-BE49-F238E27FC236}">
                  <a16:creationId xmlns:a16="http://schemas.microsoft.com/office/drawing/2014/main" id="{D2FFEBF6-1EEC-476E-913B-FDD1C6487D4D}"/>
                </a:ext>
              </a:extLst>
            </xdr:cNvPr>
            <xdr:cNvSpPr txBox="1"/>
          </xdr:nvSpPr>
          <xdr:spPr>
            <a:xfrm>
              <a:off x="1238250" y="137198099"/>
              <a:ext cx="1143000"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𝑤=(𝑄⋅𝑙^3)/(48⋅𝐸𝐽_𝑏⋅𝑏_𝑚 )</a:t>
              </a:r>
              <a:endParaRPr lang="it-IT" sz="1100"/>
            </a:p>
          </xdr:txBody>
        </xdr:sp>
      </mc:Fallback>
    </mc:AlternateContent>
    <xdr:clientData/>
  </xdr:oneCellAnchor>
  <xdr:twoCellAnchor>
    <xdr:from>
      <xdr:col>4</xdr:col>
      <xdr:colOff>142875</xdr:colOff>
      <xdr:row>120</xdr:row>
      <xdr:rowOff>57150</xdr:rowOff>
    </xdr:from>
    <xdr:to>
      <xdr:col>7</xdr:col>
      <xdr:colOff>904875</xdr:colOff>
      <xdr:row>120</xdr:row>
      <xdr:rowOff>1847850</xdr:rowOff>
    </xdr:to>
    <xdr:grpSp>
      <xdr:nvGrpSpPr>
        <xdr:cNvPr id="9630" name="VBA_Geometry">
          <a:extLst>
            <a:ext uri="{FF2B5EF4-FFF2-40B4-BE49-F238E27FC236}">
              <a16:creationId xmlns:a16="http://schemas.microsoft.com/office/drawing/2014/main" id="{ED209EC9-1425-3FAF-96ED-AFCD342036F8}"/>
            </a:ext>
          </a:extLst>
        </xdr:cNvPr>
        <xdr:cNvGrpSpPr>
          <a:grpSpLocks/>
        </xdr:cNvGrpSpPr>
      </xdr:nvGrpSpPr>
      <xdr:grpSpPr>
        <a:xfrm>
          <a:off x="2524125" y="34375725"/>
          <a:ext cx="2190750" cy="1790700"/>
          <a:chOff x="0" y="34089975"/>
          <a:chExt cx="2190750" cy="1790700"/>
        </a:xfrm>
      </xdr:grpSpPr>
      <xdr:sp macro="" textlink="">
        <xdr:nvSpPr>
          <xdr:cNvPr id="9600" name="VBA_CLT_Board_0_0">
            <a:extLst>
              <a:ext uri="{FF2B5EF4-FFF2-40B4-BE49-F238E27FC236}">
                <a16:creationId xmlns:a16="http://schemas.microsoft.com/office/drawing/2014/main" id="{E4EC8CF4-8B86-9710-2A80-18CA854CE778}"/>
              </a:ext>
            </a:extLst>
          </xdr:cNvPr>
          <xdr:cNvSpPr/>
        </xdr:nvSpPr>
        <xdr:spPr>
          <a:xfrm>
            <a:off x="476250" y="34509075"/>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1" name="VBA_CLT_Board_0_1">
            <a:extLst>
              <a:ext uri="{FF2B5EF4-FFF2-40B4-BE49-F238E27FC236}">
                <a16:creationId xmlns:a16="http://schemas.microsoft.com/office/drawing/2014/main" id="{87A2A48D-8FB6-6496-F8EB-AC14E650EBFF}"/>
              </a:ext>
            </a:extLst>
          </xdr:cNvPr>
          <xdr:cNvSpPr/>
        </xdr:nvSpPr>
        <xdr:spPr>
          <a:xfrm>
            <a:off x="819150" y="34509075"/>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2" name="VBA_CLT_Board_0_2">
            <a:extLst>
              <a:ext uri="{FF2B5EF4-FFF2-40B4-BE49-F238E27FC236}">
                <a16:creationId xmlns:a16="http://schemas.microsoft.com/office/drawing/2014/main" id="{6B427FB6-0AA7-AC6D-7C94-9D13F6F702EA}"/>
              </a:ext>
            </a:extLst>
          </xdr:cNvPr>
          <xdr:cNvSpPr/>
        </xdr:nvSpPr>
        <xdr:spPr>
          <a:xfrm>
            <a:off x="1162050" y="34509075"/>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3" name="VBA_CLT_Board_0_3">
            <a:extLst>
              <a:ext uri="{FF2B5EF4-FFF2-40B4-BE49-F238E27FC236}">
                <a16:creationId xmlns:a16="http://schemas.microsoft.com/office/drawing/2014/main" id="{872EF3FF-20CF-EECB-F1AC-7BF3D3217869}"/>
              </a:ext>
            </a:extLst>
          </xdr:cNvPr>
          <xdr:cNvSpPr/>
        </xdr:nvSpPr>
        <xdr:spPr>
          <a:xfrm>
            <a:off x="1504950" y="34509075"/>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4" name="VBA_CLT_Board_0_4">
            <a:extLst>
              <a:ext uri="{FF2B5EF4-FFF2-40B4-BE49-F238E27FC236}">
                <a16:creationId xmlns:a16="http://schemas.microsoft.com/office/drawing/2014/main" id="{E2CCB944-99A9-86C9-1601-65DF2D4A6E10}"/>
              </a:ext>
            </a:extLst>
          </xdr:cNvPr>
          <xdr:cNvSpPr/>
        </xdr:nvSpPr>
        <xdr:spPr>
          <a:xfrm>
            <a:off x="1847850" y="34509075"/>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5" name="VBA_CLT_Cont_1">
            <a:extLst>
              <a:ext uri="{FF2B5EF4-FFF2-40B4-BE49-F238E27FC236}">
                <a16:creationId xmlns:a16="http://schemas.microsoft.com/office/drawing/2014/main" id="{D69D7CE4-D461-1F06-721A-FC29922BBC3A}"/>
              </a:ext>
            </a:extLst>
          </xdr:cNvPr>
          <xdr:cNvSpPr/>
        </xdr:nvSpPr>
        <xdr:spPr>
          <a:xfrm>
            <a:off x="476250" y="34594800"/>
            <a:ext cx="1714500" cy="57150"/>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6" name="VBA_CLT_Board_2_0">
            <a:extLst>
              <a:ext uri="{FF2B5EF4-FFF2-40B4-BE49-F238E27FC236}">
                <a16:creationId xmlns:a16="http://schemas.microsoft.com/office/drawing/2014/main" id="{B54BABFC-FFCF-7404-1277-5C2F7020393A}"/>
              </a:ext>
            </a:extLst>
          </xdr:cNvPr>
          <xdr:cNvSpPr/>
        </xdr:nvSpPr>
        <xdr:spPr>
          <a:xfrm>
            <a:off x="476250" y="34651950"/>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7" name="VBA_CLT_Board_2_1">
            <a:extLst>
              <a:ext uri="{FF2B5EF4-FFF2-40B4-BE49-F238E27FC236}">
                <a16:creationId xmlns:a16="http://schemas.microsoft.com/office/drawing/2014/main" id="{8D34B8E2-AE3D-3D5C-2C53-E5D599CC1742}"/>
              </a:ext>
            </a:extLst>
          </xdr:cNvPr>
          <xdr:cNvSpPr/>
        </xdr:nvSpPr>
        <xdr:spPr>
          <a:xfrm>
            <a:off x="819150" y="34651950"/>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8" name="VBA_CLT_Board_2_2">
            <a:extLst>
              <a:ext uri="{FF2B5EF4-FFF2-40B4-BE49-F238E27FC236}">
                <a16:creationId xmlns:a16="http://schemas.microsoft.com/office/drawing/2014/main" id="{AE3A6615-4605-CCBD-0C45-E29E0B059656}"/>
              </a:ext>
            </a:extLst>
          </xdr:cNvPr>
          <xdr:cNvSpPr/>
        </xdr:nvSpPr>
        <xdr:spPr>
          <a:xfrm>
            <a:off x="1162050" y="34651950"/>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09" name="VBA_CLT_Board_2_3">
            <a:extLst>
              <a:ext uri="{FF2B5EF4-FFF2-40B4-BE49-F238E27FC236}">
                <a16:creationId xmlns:a16="http://schemas.microsoft.com/office/drawing/2014/main" id="{0C6C8E47-4364-6AE1-D38B-92A83F04E876}"/>
              </a:ext>
            </a:extLst>
          </xdr:cNvPr>
          <xdr:cNvSpPr/>
        </xdr:nvSpPr>
        <xdr:spPr>
          <a:xfrm>
            <a:off x="1504950" y="34651950"/>
            <a:ext cx="342900" cy="85725"/>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10" name="VBA_CLT_Board_2_4">
            <a:extLst>
              <a:ext uri="{FF2B5EF4-FFF2-40B4-BE49-F238E27FC236}">
                <a16:creationId xmlns:a16="http://schemas.microsoft.com/office/drawing/2014/main" id="{8729500C-AFEB-9A92-6B6A-DD98282148CA}"/>
              </a:ext>
            </a:extLst>
          </xdr:cNvPr>
          <xdr:cNvSpPr/>
        </xdr:nvSpPr>
        <xdr:spPr>
          <a:xfrm>
            <a:off x="1847850" y="34651950"/>
            <a:ext cx="342900" cy="85725"/>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11" name="VBA_CLT_Bordo">
            <a:extLst>
              <a:ext uri="{FF2B5EF4-FFF2-40B4-BE49-F238E27FC236}">
                <a16:creationId xmlns:a16="http://schemas.microsoft.com/office/drawing/2014/main" id="{5242F9F9-D8D9-A94A-ADC4-B5A9D8EB8485}"/>
              </a:ext>
            </a:extLst>
          </xdr:cNvPr>
          <xdr:cNvSpPr/>
        </xdr:nvSpPr>
        <xdr:spPr>
          <a:xfrm>
            <a:off x="476250" y="34509075"/>
            <a:ext cx="1714500" cy="228600"/>
          </a:xfrm>
          <a:prstGeom prst="rect">
            <a:avLst/>
          </a:prstGeom>
          <a:noFill/>
          <a:ln w="15875" cap="flat" cmpd="sng" algn="ctr">
            <a:solidFill>
              <a:srgbClr val="503C28"/>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12" name="VBA_Geometry_2">
            <a:extLst>
              <a:ext uri="{FF2B5EF4-FFF2-40B4-BE49-F238E27FC236}">
                <a16:creationId xmlns:a16="http://schemas.microsoft.com/office/drawing/2014/main" id="{B7ABD771-4C64-E7A9-99BF-6C32EAA99225}"/>
              </a:ext>
            </a:extLst>
          </xdr:cNvPr>
          <xdr:cNvSpPr/>
        </xdr:nvSpPr>
        <xdr:spPr>
          <a:xfrm>
            <a:off x="1104900" y="34737675"/>
            <a:ext cx="457200" cy="914400"/>
          </a:xfrm>
          <a:prstGeom prst="rect">
            <a:avLst/>
          </a:prstGeom>
          <a:solidFill>
            <a:srgbClr val="C49A6C"/>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13" name="VBA_GL_Line_1">
            <a:extLst>
              <a:ext uri="{FF2B5EF4-FFF2-40B4-BE49-F238E27FC236}">
                <a16:creationId xmlns:a16="http://schemas.microsoft.com/office/drawing/2014/main" id="{3EF3AA8C-1FC2-4532-3895-53A11C25DEB5}"/>
              </a:ext>
            </a:extLst>
          </xdr:cNvPr>
          <xdr:cNvCxnSpPr/>
        </xdr:nvCxnSpPr>
        <xdr:spPr>
          <a:xfrm>
            <a:off x="1104900" y="3485197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14" name="VBA_GL_Line_2">
            <a:extLst>
              <a:ext uri="{FF2B5EF4-FFF2-40B4-BE49-F238E27FC236}">
                <a16:creationId xmlns:a16="http://schemas.microsoft.com/office/drawing/2014/main" id="{7711B63D-AC66-07DE-995D-C1A6B11BCBB0}"/>
              </a:ext>
            </a:extLst>
          </xdr:cNvPr>
          <xdr:cNvCxnSpPr/>
        </xdr:nvCxnSpPr>
        <xdr:spPr>
          <a:xfrm>
            <a:off x="1104900" y="3496627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15" name="VBA_GL_Line_3">
            <a:extLst>
              <a:ext uri="{FF2B5EF4-FFF2-40B4-BE49-F238E27FC236}">
                <a16:creationId xmlns:a16="http://schemas.microsoft.com/office/drawing/2014/main" id="{40F03B4D-9341-54B3-D6C7-7A0518541948}"/>
              </a:ext>
            </a:extLst>
          </xdr:cNvPr>
          <xdr:cNvCxnSpPr/>
        </xdr:nvCxnSpPr>
        <xdr:spPr>
          <a:xfrm>
            <a:off x="1104900" y="3508057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16" name="VBA_GL_Line_4">
            <a:extLst>
              <a:ext uri="{FF2B5EF4-FFF2-40B4-BE49-F238E27FC236}">
                <a16:creationId xmlns:a16="http://schemas.microsoft.com/office/drawing/2014/main" id="{A94CFA52-CD53-847F-F494-E4E79256C7B8}"/>
              </a:ext>
            </a:extLst>
          </xdr:cNvPr>
          <xdr:cNvCxnSpPr/>
        </xdr:nvCxnSpPr>
        <xdr:spPr>
          <a:xfrm>
            <a:off x="1104900" y="3519487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17" name="VBA_GL_Line_5">
            <a:extLst>
              <a:ext uri="{FF2B5EF4-FFF2-40B4-BE49-F238E27FC236}">
                <a16:creationId xmlns:a16="http://schemas.microsoft.com/office/drawing/2014/main" id="{89F78B0F-5D4E-16DB-3769-60BB2F5B967A}"/>
              </a:ext>
            </a:extLst>
          </xdr:cNvPr>
          <xdr:cNvCxnSpPr/>
        </xdr:nvCxnSpPr>
        <xdr:spPr>
          <a:xfrm>
            <a:off x="1104900" y="3530917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18" name="VBA_GL_Line_6">
            <a:extLst>
              <a:ext uri="{FF2B5EF4-FFF2-40B4-BE49-F238E27FC236}">
                <a16:creationId xmlns:a16="http://schemas.microsoft.com/office/drawing/2014/main" id="{258FB04A-3032-BF9E-40BF-6659C20281B6}"/>
              </a:ext>
            </a:extLst>
          </xdr:cNvPr>
          <xdr:cNvCxnSpPr/>
        </xdr:nvCxnSpPr>
        <xdr:spPr>
          <a:xfrm>
            <a:off x="1104900" y="3542347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19" name="VBA_GL_Line_7">
            <a:extLst>
              <a:ext uri="{FF2B5EF4-FFF2-40B4-BE49-F238E27FC236}">
                <a16:creationId xmlns:a16="http://schemas.microsoft.com/office/drawing/2014/main" id="{4E035E59-5339-0D4E-A20F-F680835DE573}"/>
              </a:ext>
            </a:extLst>
          </xdr:cNvPr>
          <xdr:cNvCxnSpPr/>
        </xdr:nvCxnSpPr>
        <xdr:spPr>
          <a:xfrm>
            <a:off x="1104900" y="35537775"/>
            <a:ext cx="4572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20" name="VBA_Quota_Line_20">
            <a:extLst>
              <a:ext uri="{FF2B5EF4-FFF2-40B4-BE49-F238E27FC236}">
                <a16:creationId xmlns:a16="http://schemas.microsoft.com/office/drawing/2014/main" id="{EB42C826-F73B-11A8-B739-0EF97B7890C7}"/>
              </a:ext>
            </a:extLst>
          </xdr:cNvPr>
          <xdr:cNvCxnSpPr/>
        </xdr:nvCxnSpPr>
        <xdr:spPr>
          <a:xfrm>
            <a:off x="247650" y="34509075"/>
            <a:ext cx="0" cy="22860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21" name="VBA_Quota_Text_21">
            <a:extLst>
              <a:ext uri="{FF2B5EF4-FFF2-40B4-BE49-F238E27FC236}">
                <a16:creationId xmlns:a16="http://schemas.microsoft.com/office/drawing/2014/main" id="{604D527F-7164-34C8-CDDF-0E037DA2BFA3}"/>
              </a:ext>
            </a:extLst>
          </xdr:cNvPr>
          <xdr:cNvSpPr txBox="1"/>
        </xdr:nvSpPr>
        <xdr:spPr>
          <a:xfrm>
            <a:off x="0" y="3454082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h₁=80mm</a:t>
            </a:r>
          </a:p>
        </xdr:txBody>
      </xdr:sp>
      <xdr:cxnSp macro="">
        <xdr:nvCxnSpPr>
          <xdr:cNvPr id="9622" name="VBA_Quota_Line_22">
            <a:extLst>
              <a:ext uri="{FF2B5EF4-FFF2-40B4-BE49-F238E27FC236}">
                <a16:creationId xmlns:a16="http://schemas.microsoft.com/office/drawing/2014/main" id="{AE58FF80-F2A9-56CE-32BC-3488B805472D}"/>
              </a:ext>
            </a:extLst>
          </xdr:cNvPr>
          <xdr:cNvCxnSpPr/>
        </xdr:nvCxnSpPr>
        <xdr:spPr>
          <a:xfrm>
            <a:off x="876300" y="34737675"/>
            <a:ext cx="0" cy="91440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23" name="VBA_Quota_Text_23">
            <a:extLst>
              <a:ext uri="{FF2B5EF4-FFF2-40B4-BE49-F238E27FC236}">
                <a16:creationId xmlns:a16="http://schemas.microsoft.com/office/drawing/2014/main" id="{B397C1B5-C895-86BC-C406-7A710BC216E6}"/>
              </a:ext>
            </a:extLst>
          </xdr:cNvPr>
          <xdr:cNvSpPr txBox="1"/>
        </xdr:nvSpPr>
        <xdr:spPr>
          <a:xfrm>
            <a:off x="215900" y="3511232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h₂=320mm</a:t>
            </a:r>
          </a:p>
        </xdr:txBody>
      </xdr:sp>
      <xdr:cxnSp macro="">
        <xdr:nvCxnSpPr>
          <xdr:cNvPr id="9624" name="VBA_Quota_Line_24">
            <a:extLst>
              <a:ext uri="{FF2B5EF4-FFF2-40B4-BE49-F238E27FC236}">
                <a16:creationId xmlns:a16="http://schemas.microsoft.com/office/drawing/2014/main" id="{1E68617D-FA1A-2D98-4308-78966B3B1EC4}"/>
              </a:ext>
            </a:extLst>
          </xdr:cNvPr>
          <xdr:cNvCxnSpPr/>
        </xdr:nvCxnSpPr>
        <xdr:spPr>
          <a:xfrm>
            <a:off x="476250" y="34280475"/>
            <a:ext cx="171450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25" name="VBA_Quota_Text_25">
            <a:extLst>
              <a:ext uri="{FF2B5EF4-FFF2-40B4-BE49-F238E27FC236}">
                <a16:creationId xmlns:a16="http://schemas.microsoft.com/office/drawing/2014/main" id="{575A5ACC-CBDB-30E2-D478-3DC07284295E}"/>
              </a:ext>
            </a:extLst>
          </xdr:cNvPr>
          <xdr:cNvSpPr txBox="1"/>
        </xdr:nvSpPr>
        <xdr:spPr>
          <a:xfrm>
            <a:off x="1016000" y="3408997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b₁=600mm</a:t>
            </a:r>
          </a:p>
        </xdr:txBody>
      </xdr:sp>
      <xdr:cxnSp macro="">
        <xdr:nvCxnSpPr>
          <xdr:cNvPr id="9626" name="VBA_Quota_Line_26">
            <a:extLst>
              <a:ext uri="{FF2B5EF4-FFF2-40B4-BE49-F238E27FC236}">
                <a16:creationId xmlns:a16="http://schemas.microsoft.com/office/drawing/2014/main" id="{BB2F0C9C-101B-1F7C-1A94-833716C2831C}"/>
              </a:ext>
            </a:extLst>
          </xdr:cNvPr>
          <xdr:cNvCxnSpPr/>
        </xdr:nvCxnSpPr>
        <xdr:spPr>
          <a:xfrm>
            <a:off x="1104900" y="35880675"/>
            <a:ext cx="45720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27" name="VBA_Quota_Text_27">
            <a:extLst>
              <a:ext uri="{FF2B5EF4-FFF2-40B4-BE49-F238E27FC236}">
                <a16:creationId xmlns:a16="http://schemas.microsoft.com/office/drawing/2014/main" id="{8053AD13-776B-A720-6497-FB675F6C3585}"/>
              </a:ext>
            </a:extLst>
          </xdr:cNvPr>
          <xdr:cNvSpPr txBox="1"/>
        </xdr:nvSpPr>
        <xdr:spPr>
          <a:xfrm>
            <a:off x="1016000" y="3569017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b₂=160mm</a:t>
            </a:r>
          </a:p>
        </xdr:txBody>
      </xdr:sp>
      <xdr:sp macro="" textlink="">
        <xdr:nvSpPr>
          <xdr:cNvPr id="9628" name="VBA_Circle_1_28">
            <a:extLst>
              <a:ext uri="{FF2B5EF4-FFF2-40B4-BE49-F238E27FC236}">
                <a16:creationId xmlns:a16="http://schemas.microsoft.com/office/drawing/2014/main" id="{2C994880-DB8D-B73C-2817-C9F1A5A46138}"/>
              </a:ext>
            </a:extLst>
          </xdr:cNvPr>
          <xdr:cNvSpPr/>
        </xdr:nvSpPr>
        <xdr:spPr>
          <a:xfrm>
            <a:off x="1231900" y="34521775"/>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1</a:t>
            </a:r>
          </a:p>
        </xdr:txBody>
      </xdr:sp>
      <xdr:sp macro="" textlink="">
        <xdr:nvSpPr>
          <xdr:cNvPr id="9629" name="VBA_Circle_2_29">
            <a:extLst>
              <a:ext uri="{FF2B5EF4-FFF2-40B4-BE49-F238E27FC236}">
                <a16:creationId xmlns:a16="http://schemas.microsoft.com/office/drawing/2014/main" id="{DF44DF9E-DF3A-1475-94E3-77D5227A3E8B}"/>
              </a:ext>
            </a:extLst>
          </xdr:cNvPr>
          <xdr:cNvSpPr/>
        </xdr:nvSpPr>
        <xdr:spPr>
          <a:xfrm>
            <a:off x="1231900" y="35093275"/>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2</a:t>
            </a:r>
          </a:p>
        </xdr:txBody>
      </xdr:sp>
    </xdr:grpSp>
    <xdr:clientData/>
  </xdr:twoCellAnchor>
  <xdr:twoCellAnchor>
    <xdr:from>
      <xdr:col>7</xdr:col>
      <xdr:colOff>317500</xdr:colOff>
      <xdr:row>138</xdr:row>
      <xdr:rowOff>168275</xdr:rowOff>
    </xdr:from>
    <xdr:to>
      <xdr:col>11</xdr:col>
      <xdr:colOff>158750</xdr:colOff>
      <xdr:row>138</xdr:row>
      <xdr:rowOff>1546225</xdr:rowOff>
    </xdr:to>
    <xdr:grpSp>
      <xdr:nvGrpSpPr>
        <xdr:cNvPr id="9668" name="VBA_Support_Report_Group">
          <a:extLst>
            <a:ext uri="{FF2B5EF4-FFF2-40B4-BE49-F238E27FC236}">
              <a16:creationId xmlns:a16="http://schemas.microsoft.com/office/drawing/2014/main" id="{4120D108-8CBC-E86C-FAE9-C4178B439DF0}"/>
            </a:ext>
          </a:extLst>
        </xdr:cNvPr>
        <xdr:cNvGrpSpPr>
          <a:grpSpLocks noChangeAspect="1"/>
        </xdr:cNvGrpSpPr>
      </xdr:nvGrpSpPr>
      <xdr:grpSpPr>
        <a:xfrm>
          <a:off x="4127500" y="38801675"/>
          <a:ext cx="2698750" cy="1377950"/>
          <a:chOff x="4127500" y="38640544"/>
          <a:chExt cx="2698750" cy="1377950"/>
        </a:xfrm>
      </xdr:grpSpPr>
      <xdr:sp macro="" textlink="">
        <xdr:nvSpPr>
          <xdr:cNvPr id="9631" name="VBA_Support_Report_CLT_B_0_0">
            <a:extLst>
              <a:ext uri="{FF2B5EF4-FFF2-40B4-BE49-F238E27FC236}">
                <a16:creationId xmlns:a16="http://schemas.microsoft.com/office/drawing/2014/main" id="{6802FA3C-FACB-2E40-8C34-C8408BC97021}"/>
              </a:ext>
            </a:extLst>
          </xdr:cNvPr>
          <xdr:cNvSpPr/>
        </xdr:nvSpPr>
        <xdr:spPr>
          <a:xfrm>
            <a:off x="4127500" y="3895090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2" name="VBA_Support_Report_CLT_B_0_1">
            <a:extLst>
              <a:ext uri="{FF2B5EF4-FFF2-40B4-BE49-F238E27FC236}">
                <a16:creationId xmlns:a16="http://schemas.microsoft.com/office/drawing/2014/main" id="{3D6709DA-A494-255F-F67D-D8E50DE323BB}"/>
              </a:ext>
            </a:extLst>
          </xdr:cNvPr>
          <xdr:cNvSpPr/>
        </xdr:nvSpPr>
        <xdr:spPr>
          <a:xfrm>
            <a:off x="4667250" y="3895090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3" name="VBA_Support_Report_CLT_B_0_2">
            <a:extLst>
              <a:ext uri="{FF2B5EF4-FFF2-40B4-BE49-F238E27FC236}">
                <a16:creationId xmlns:a16="http://schemas.microsoft.com/office/drawing/2014/main" id="{7CD375D3-DB29-4330-C7E4-2BF932B982EA}"/>
              </a:ext>
            </a:extLst>
          </xdr:cNvPr>
          <xdr:cNvSpPr/>
        </xdr:nvSpPr>
        <xdr:spPr>
          <a:xfrm>
            <a:off x="5207000" y="3895090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4" name="VBA_Support_Report_CLT_B_0_3">
            <a:extLst>
              <a:ext uri="{FF2B5EF4-FFF2-40B4-BE49-F238E27FC236}">
                <a16:creationId xmlns:a16="http://schemas.microsoft.com/office/drawing/2014/main" id="{6A784FF5-444D-34C3-047B-1E7542251742}"/>
              </a:ext>
            </a:extLst>
          </xdr:cNvPr>
          <xdr:cNvSpPr/>
        </xdr:nvSpPr>
        <xdr:spPr>
          <a:xfrm>
            <a:off x="5746750" y="3895090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5" name="VBA_Support_Report_CLT_B_0_4">
            <a:extLst>
              <a:ext uri="{FF2B5EF4-FFF2-40B4-BE49-F238E27FC236}">
                <a16:creationId xmlns:a16="http://schemas.microsoft.com/office/drawing/2014/main" id="{8D0D1CD4-8B24-D350-3D43-15719A943B17}"/>
              </a:ext>
            </a:extLst>
          </xdr:cNvPr>
          <xdr:cNvSpPr/>
        </xdr:nvSpPr>
        <xdr:spPr>
          <a:xfrm>
            <a:off x="6286500" y="3895090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6" name="VBA_Support_Report_CLT_C_1">
            <a:extLst>
              <a:ext uri="{FF2B5EF4-FFF2-40B4-BE49-F238E27FC236}">
                <a16:creationId xmlns:a16="http://schemas.microsoft.com/office/drawing/2014/main" id="{2F61DA2C-85FF-1C06-50C8-593003A87E42}"/>
              </a:ext>
            </a:extLst>
          </xdr:cNvPr>
          <xdr:cNvSpPr/>
        </xdr:nvSpPr>
        <xdr:spPr>
          <a:xfrm>
            <a:off x="4127500" y="39077404"/>
            <a:ext cx="2698750" cy="84336"/>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7" name="VBA_Support_Report_CLT_B_2_0">
            <a:extLst>
              <a:ext uri="{FF2B5EF4-FFF2-40B4-BE49-F238E27FC236}">
                <a16:creationId xmlns:a16="http://schemas.microsoft.com/office/drawing/2014/main" id="{83F8DCB3-F297-B4A3-076A-BC158BB52D8E}"/>
              </a:ext>
            </a:extLst>
          </xdr:cNvPr>
          <xdr:cNvSpPr/>
        </xdr:nvSpPr>
        <xdr:spPr>
          <a:xfrm>
            <a:off x="4127500" y="3916174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8" name="VBA_Support_Report_CLT_B_2_1">
            <a:extLst>
              <a:ext uri="{FF2B5EF4-FFF2-40B4-BE49-F238E27FC236}">
                <a16:creationId xmlns:a16="http://schemas.microsoft.com/office/drawing/2014/main" id="{C49F288D-4CB1-CAF2-F607-482C670BD166}"/>
              </a:ext>
            </a:extLst>
          </xdr:cNvPr>
          <xdr:cNvSpPr/>
        </xdr:nvSpPr>
        <xdr:spPr>
          <a:xfrm>
            <a:off x="4667250" y="3916174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39" name="VBA_Support_Report_CLT_B_2_2">
            <a:extLst>
              <a:ext uri="{FF2B5EF4-FFF2-40B4-BE49-F238E27FC236}">
                <a16:creationId xmlns:a16="http://schemas.microsoft.com/office/drawing/2014/main" id="{62BF6B7A-C6DE-732E-BB2C-D0465C77B0DC}"/>
              </a:ext>
            </a:extLst>
          </xdr:cNvPr>
          <xdr:cNvSpPr/>
        </xdr:nvSpPr>
        <xdr:spPr>
          <a:xfrm>
            <a:off x="5207000" y="3916174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40" name="VBA_Support_Report_CLT_B_2_3">
            <a:extLst>
              <a:ext uri="{FF2B5EF4-FFF2-40B4-BE49-F238E27FC236}">
                <a16:creationId xmlns:a16="http://schemas.microsoft.com/office/drawing/2014/main" id="{6CCF3C27-77E2-C872-ADED-63A179346442}"/>
              </a:ext>
            </a:extLst>
          </xdr:cNvPr>
          <xdr:cNvSpPr/>
        </xdr:nvSpPr>
        <xdr:spPr>
          <a:xfrm>
            <a:off x="5746750" y="3916174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41" name="VBA_Support_Report_CLT_B_2_4">
            <a:extLst>
              <a:ext uri="{FF2B5EF4-FFF2-40B4-BE49-F238E27FC236}">
                <a16:creationId xmlns:a16="http://schemas.microsoft.com/office/drawing/2014/main" id="{B304AEF0-409F-AC08-E497-068CB35C91E2}"/>
              </a:ext>
            </a:extLst>
          </xdr:cNvPr>
          <xdr:cNvSpPr/>
        </xdr:nvSpPr>
        <xdr:spPr>
          <a:xfrm>
            <a:off x="6286500" y="3916174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42" name="VBA_Support_Report_CLT_Sup">
            <a:extLst>
              <a:ext uri="{FF2B5EF4-FFF2-40B4-BE49-F238E27FC236}">
                <a16:creationId xmlns:a16="http://schemas.microsoft.com/office/drawing/2014/main" id="{BD93A3C6-6A1E-0313-8546-F8AF44618C18}"/>
              </a:ext>
            </a:extLst>
          </xdr:cNvPr>
          <xdr:cNvCxnSpPr/>
        </xdr:nvCxnSpPr>
        <xdr:spPr>
          <a:xfrm>
            <a:off x="4127500" y="38950900"/>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9643" name="VBA_Support_Report_CLT_Inf">
            <a:extLst>
              <a:ext uri="{FF2B5EF4-FFF2-40B4-BE49-F238E27FC236}">
                <a16:creationId xmlns:a16="http://schemas.microsoft.com/office/drawing/2014/main" id="{980D9145-1065-127C-2AA0-7E07DAF1CC2F}"/>
              </a:ext>
            </a:extLst>
          </xdr:cNvPr>
          <xdr:cNvCxnSpPr/>
        </xdr:nvCxnSpPr>
        <xdr:spPr>
          <a:xfrm>
            <a:off x="4127500" y="39288244"/>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9644" name="VBA_Support_Report_CLT_SX">
            <a:extLst>
              <a:ext uri="{FF2B5EF4-FFF2-40B4-BE49-F238E27FC236}">
                <a16:creationId xmlns:a16="http://schemas.microsoft.com/office/drawing/2014/main" id="{4E0045E7-F4A8-24C7-8C84-0E8A0B3737AB}"/>
              </a:ext>
            </a:extLst>
          </xdr:cNvPr>
          <xdr:cNvCxnSpPr/>
        </xdr:nvCxnSpPr>
        <xdr:spPr>
          <a:xfrm>
            <a:off x="4127500" y="38950900"/>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645" name="VBA_Support_Report_CLT_DX">
            <a:extLst>
              <a:ext uri="{FF2B5EF4-FFF2-40B4-BE49-F238E27FC236}">
                <a16:creationId xmlns:a16="http://schemas.microsoft.com/office/drawing/2014/main" id="{A7958312-C7E6-9E89-29A6-9D318AE88411}"/>
              </a:ext>
            </a:extLst>
          </xdr:cNvPr>
          <xdr:cNvCxnSpPr/>
        </xdr:nvCxnSpPr>
        <xdr:spPr>
          <a:xfrm>
            <a:off x="6826250" y="38950900"/>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9646" name="VBA_Support_Report_Trave">
            <a:extLst>
              <a:ext uri="{FF2B5EF4-FFF2-40B4-BE49-F238E27FC236}">
                <a16:creationId xmlns:a16="http://schemas.microsoft.com/office/drawing/2014/main" id="{C5E70551-A392-E368-CB51-F01CECB07E99}"/>
              </a:ext>
            </a:extLst>
          </xdr:cNvPr>
          <xdr:cNvSpPr/>
        </xdr:nvSpPr>
        <xdr:spPr>
          <a:xfrm>
            <a:off x="5139531" y="39288244"/>
            <a:ext cx="674688" cy="539750"/>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47" name="VBA_Support_Report_GL_L_1">
            <a:extLst>
              <a:ext uri="{FF2B5EF4-FFF2-40B4-BE49-F238E27FC236}">
                <a16:creationId xmlns:a16="http://schemas.microsoft.com/office/drawing/2014/main" id="{15E48B71-86D5-86E4-4A21-385BA2F5C6E2}"/>
              </a:ext>
            </a:extLst>
          </xdr:cNvPr>
          <xdr:cNvCxnSpPr/>
        </xdr:nvCxnSpPr>
        <xdr:spPr>
          <a:xfrm>
            <a:off x="5139531" y="39468161"/>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48" name="VBA_Support_Report_GL_L_2">
            <a:extLst>
              <a:ext uri="{FF2B5EF4-FFF2-40B4-BE49-F238E27FC236}">
                <a16:creationId xmlns:a16="http://schemas.microsoft.com/office/drawing/2014/main" id="{1F3C6509-9E35-7617-4392-C3AD04130C22}"/>
              </a:ext>
            </a:extLst>
          </xdr:cNvPr>
          <xdr:cNvCxnSpPr/>
        </xdr:nvCxnSpPr>
        <xdr:spPr>
          <a:xfrm>
            <a:off x="5139531" y="39648076"/>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49" name="VBA_Support_Report_Bordo_SX">
            <a:extLst>
              <a:ext uri="{FF2B5EF4-FFF2-40B4-BE49-F238E27FC236}">
                <a16:creationId xmlns:a16="http://schemas.microsoft.com/office/drawing/2014/main" id="{914EE7B8-AA18-CBF5-BAE2-DC02B1852F83}"/>
              </a:ext>
            </a:extLst>
          </xdr:cNvPr>
          <xdr:cNvCxnSpPr/>
        </xdr:nvCxnSpPr>
        <xdr:spPr>
          <a:xfrm>
            <a:off x="5139531" y="39288244"/>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9650" name="VBA_Support_Report_Bordo_DX">
            <a:extLst>
              <a:ext uri="{FF2B5EF4-FFF2-40B4-BE49-F238E27FC236}">
                <a16:creationId xmlns:a16="http://schemas.microsoft.com/office/drawing/2014/main" id="{0EC5F791-0973-9EB9-25DA-6383A75C27AA}"/>
              </a:ext>
            </a:extLst>
          </xdr:cNvPr>
          <xdr:cNvCxnSpPr/>
        </xdr:nvCxnSpPr>
        <xdr:spPr>
          <a:xfrm>
            <a:off x="5814219" y="39288244"/>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9651" name="VBA_Support_Report_Bordo_Sup">
            <a:extLst>
              <a:ext uri="{FF2B5EF4-FFF2-40B4-BE49-F238E27FC236}">
                <a16:creationId xmlns:a16="http://schemas.microsoft.com/office/drawing/2014/main" id="{48EA5510-55B2-137A-344C-37825EE6724A}"/>
              </a:ext>
            </a:extLst>
          </xdr:cNvPr>
          <xdr:cNvCxnSpPr/>
        </xdr:nvCxnSpPr>
        <xdr:spPr>
          <a:xfrm>
            <a:off x="5139531" y="39288244"/>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9652" name="VBA_Support_Report_BordoTaglio">
            <a:extLst>
              <a:ext uri="{FF2B5EF4-FFF2-40B4-BE49-F238E27FC236}">
                <a16:creationId xmlns:a16="http://schemas.microsoft.com/office/drawing/2014/main" id="{8C2EB924-C437-CE5B-B9E8-3C01D6B5BC06}"/>
              </a:ext>
            </a:extLst>
          </xdr:cNvPr>
          <xdr:cNvCxnSpPr/>
        </xdr:nvCxnSpPr>
        <xdr:spPr>
          <a:xfrm>
            <a:off x="5139531" y="39827994"/>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9653" name="VBA_Support_Report_SharpMetal_1">
            <a:extLst>
              <a:ext uri="{FF2B5EF4-FFF2-40B4-BE49-F238E27FC236}">
                <a16:creationId xmlns:a16="http://schemas.microsoft.com/office/drawing/2014/main" id="{117AF3FC-759B-D21D-0E2A-A0A83A77948A}"/>
              </a:ext>
            </a:extLst>
          </xdr:cNvPr>
          <xdr:cNvSpPr/>
        </xdr:nvSpPr>
        <xdr:spPr>
          <a:xfrm>
            <a:off x="5371455" y="39271377"/>
            <a:ext cx="210840" cy="33734"/>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54" name="VBA_Support_Report_ViteTBS_1">
            <a:extLst>
              <a:ext uri="{FF2B5EF4-FFF2-40B4-BE49-F238E27FC236}">
                <a16:creationId xmlns:a16="http://schemas.microsoft.com/office/drawing/2014/main" id="{B0730190-B972-B82C-A6BB-FBF83B3A9F1C}"/>
              </a:ext>
            </a:extLst>
          </xdr:cNvPr>
          <xdr:cNvCxnSpPr/>
        </xdr:nvCxnSpPr>
        <xdr:spPr>
          <a:xfrm>
            <a:off x="5476875" y="38950900"/>
            <a:ext cx="0" cy="834926"/>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9655" name="VBA_Support_Report_TestaTBS_1">
            <a:extLst>
              <a:ext uri="{FF2B5EF4-FFF2-40B4-BE49-F238E27FC236}">
                <a16:creationId xmlns:a16="http://schemas.microsoft.com/office/drawing/2014/main" id="{CCEF3948-D126-9381-3935-DDD0ED1EC71D}"/>
              </a:ext>
            </a:extLst>
          </xdr:cNvPr>
          <xdr:cNvCxnSpPr/>
        </xdr:nvCxnSpPr>
        <xdr:spPr>
          <a:xfrm>
            <a:off x="5451574" y="38950900"/>
            <a:ext cx="50602"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9656" name="VBA_Support_Report_QLine_25">
            <a:extLst>
              <a:ext uri="{FF2B5EF4-FFF2-40B4-BE49-F238E27FC236}">
                <a16:creationId xmlns:a16="http://schemas.microsoft.com/office/drawing/2014/main" id="{6E98EC12-39FB-5D7C-BF83-6C15FD2E27E5}"/>
              </a:ext>
            </a:extLst>
          </xdr:cNvPr>
          <xdr:cNvCxnSpPr/>
        </xdr:nvCxnSpPr>
        <xdr:spPr>
          <a:xfrm>
            <a:off x="5371455" y="39178111"/>
            <a:ext cx="21084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57" name="VBA_Support_Report_QText_26">
            <a:extLst>
              <a:ext uri="{FF2B5EF4-FFF2-40B4-BE49-F238E27FC236}">
                <a16:creationId xmlns:a16="http://schemas.microsoft.com/office/drawing/2014/main" id="{F0C4EBF6-6D74-88C7-EC17-055D43334452}"/>
              </a:ext>
            </a:extLst>
          </xdr:cNvPr>
          <xdr:cNvSpPr txBox="1"/>
        </xdr:nvSpPr>
        <xdr:spPr>
          <a:xfrm>
            <a:off x="5127625" y="39025711"/>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9658" name="VBA_Support_Report_QLine_27">
            <a:extLst>
              <a:ext uri="{FF2B5EF4-FFF2-40B4-BE49-F238E27FC236}">
                <a16:creationId xmlns:a16="http://schemas.microsoft.com/office/drawing/2014/main" id="{9F67DB3A-3D7A-FD86-C155-9A98E205E648}"/>
              </a:ext>
            </a:extLst>
          </xdr:cNvPr>
          <xdr:cNvCxnSpPr/>
        </xdr:nvCxnSpPr>
        <xdr:spPr>
          <a:xfrm>
            <a:off x="5582295" y="38792944"/>
            <a:ext cx="23192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59" name="VBA_Support_Report_QText_28">
            <a:extLst>
              <a:ext uri="{FF2B5EF4-FFF2-40B4-BE49-F238E27FC236}">
                <a16:creationId xmlns:a16="http://schemas.microsoft.com/office/drawing/2014/main" id="{57D887A2-427D-1DBF-3F9B-BCD5493EEF4D}"/>
              </a:ext>
            </a:extLst>
          </xdr:cNvPr>
          <xdr:cNvSpPr txBox="1"/>
        </xdr:nvSpPr>
        <xdr:spPr>
          <a:xfrm>
            <a:off x="5349007" y="38640544"/>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27 mm</a:t>
            </a:r>
          </a:p>
        </xdr:txBody>
      </xdr:sp>
      <xdr:cxnSp macro="">
        <xdr:nvCxnSpPr>
          <xdr:cNvPr id="9660" name="VBA_Support_Report_QLine_29">
            <a:extLst>
              <a:ext uri="{FF2B5EF4-FFF2-40B4-BE49-F238E27FC236}">
                <a16:creationId xmlns:a16="http://schemas.microsoft.com/office/drawing/2014/main" id="{2B33E7FE-53E3-FA6A-AFC5-5312B9AC08BD}"/>
              </a:ext>
            </a:extLst>
          </xdr:cNvPr>
          <xdr:cNvCxnSpPr/>
        </xdr:nvCxnSpPr>
        <xdr:spPr>
          <a:xfrm>
            <a:off x="5139531" y="40018494"/>
            <a:ext cx="33734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62" name="VBA_Support_Report_QText_30">
            <a:extLst>
              <a:ext uri="{FF2B5EF4-FFF2-40B4-BE49-F238E27FC236}">
                <a16:creationId xmlns:a16="http://schemas.microsoft.com/office/drawing/2014/main" id="{AFD6825C-A898-7AD9-E1F0-E9937BDD445A}"/>
              </a:ext>
            </a:extLst>
          </xdr:cNvPr>
          <xdr:cNvSpPr txBox="1"/>
        </xdr:nvSpPr>
        <xdr:spPr>
          <a:xfrm>
            <a:off x="4958953" y="39866094"/>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80 mm</a:t>
            </a:r>
          </a:p>
        </xdr:txBody>
      </xdr:sp>
    </xdr:grpSp>
    <xdr:clientData/>
  </xdr:twoCellAnchor>
  <xdr:twoCellAnchor>
    <xdr:from>
      <xdr:col>1</xdr:col>
      <xdr:colOff>317500</xdr:colOff>
      <xdr:row>138</xdr:row>
      <xdr:rowOff>168275</xdr:rowOff>
    </xdr:from>
    <xdr:to>
      <xdr:col>5</xdr:col>
      <xdr:colOff>158750</xdr:colOff>
      <xdr:row>138</xdr:row>
      <xdr:rowOff>1546225</xdr:rowOff>
    </xdr:to>
    <xdr:grpSp>
      <xdr:nvGrpSpPr>
        <xdr:cNvPr id="9703" name="VBA_Midspan_Report_Group">
          <a:extLst>
            <a:ext uri="{FF2B5EF4-FFF2-40B4-BE49-F238E27FC236}">
              <a16:creationId xmlns:a16="http://schemas.microsoft.com/office/drawing/2014/main" id="{AD78D6C2-0AB0-7393-4BB7-280D563C5E8E}"/>
            </a:ext>
          </a:extLst>
        </xdr:cNvPr>
        <xdr:cNvGrpSpPr>
          <a:grpSpLocks noChangeAspect="1"/>
        </xdr:cNvGrpSpPr>
      </xdr:nvGrpSpPr>
      <xdr:grpSpPr>
        <a:xfrm>
          <a:off x="412750" y="38801675"/>
          <a:ext cx="2698750" cy="1377950"/>
          <a:chOff x="412750" y="38640544"/>
          <a:chExt cx="2698750" cy="1377950"/>
        </a:xfrm>
      </xdr:grpSpPr>
      <xdr:sp macro="" textlink="">
        <xdr:nvSpPr>
          <xdr:cNvPr id="9669" name="VBA_Midspan_Report_CLT_B_0_0">
            <a:extLst>
              <a:ext uri="{FF2B5EF4-FFF2-40B4-BE49-F238E27FC236}">
                <a16:creationId xmlns:a16="http://schemas.microsoft.com/office/drawing/2014/main" id="{2617C676-9D90-7884-420F-17937FB3C0DF}"/>
              </a:ext>
            </a:extLst>
          </xdr:cNvPr>
          <xdr:cNvSpPr/>
        </xdr:nvSpPr>
        <xdr:spPr>
          <a:xfrm>
            <a:off x="412750" y="3895090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0" name="VBA_Midspan_Report_CLT_B_0_1">
            <a:extLst>
              <a:ext uri="{FF2B5EF4-FFF2-40B4-BE49-F238E27FC236}">
                <a16:creationId xmlns:a16="http://schemas.microsoft.com/office/drawing/2014/main" id="{1DF27526-D9F7-F5EE-B449-B94BD3A8E097}"/>
              </a:ext>
            </a:extLst>
          </xdr:cNvPr>
          <xdr:cNvSpPr/>
        </xdr:nvSpPr>
        <xdr:spPr>
          <a:xfrm>
            <a:off x="952500" y="3895090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1" name="VBA_Midspan_Report_CLT_B_0_2">
            <a:extLst>
              <a:ext uri="{FF2B5EF4-FFF2-40B4-BE49-F238E27FC236}">
                <a16:creationId xmlns:a16="http://schemas.microsoft.com/office/drawing/2014/main" id="{61810224-682C-5CEB-4744-87BDBB7250E4}"/>
              </a:ext>
            </a:extLst>
          </xdr:cNvPr>
          <xdr:cNvSpPr/>
        </xdr:nvSpPr>
        <xdr:spPr>
          <a:xfrm>
            <a:off x="1492250" y="3895090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2" name="VBA_Midspan_Report_CLT_B_0_3">
            <a:extLst>
              <a:ext uri="{FF2B5EF4-FFF2-40B4-BE49-F238E27FC236}">
                <a16:creationId xmlns:a16="http://schemas.microsoft.com/office/drawing/2014/main" id="{C05315B8-0681-6E00-0C32-415670C695D4}"/>
              </a:ext>
            </a:extLst>
          </xdr:cNvPr>
          <xdr:cNvSpPr/>
        </xdr:nvSpPr>
        <xdr:spPr>
          <a:xfrm>
            <a:off x="2032000" y="3895090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3" name="VBA_Midspan_Report_CLT_B_0_4">
            <a:extLst>
              <a:ext uri="{FF2B5EF4-FFF2-40B4-BE49-F238E27FC236}">
                <a16:creationId xmlns:a16="http://schemas.microsoft.com/office/drawing/2014/main" id="{DBD883F9-6007-6BBD-4D34-795D351935ED}"/>
              </a:ext>
            </a:extLst>
          </xdr:cNvPr>
          <xdr:cNvSpPr/>
        </xdr:nvSpPr>
        <xdr:spPr>
          <a:xfrm>
            <a:off x="2571750" y="3895090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4" name="VBA_Midspan_Report_CLT_C_1">
            <a:extLst>
              <a:ext uri="{FF2B5EF4-FFF2-40B4-BE49-F238E27FC236}">
                <a16:creationId xmlns:a16="http://schemas.microsoft.com/office/drawing/2014/main" id="{6A18971B-1586-E267-87CE-0D03C12659C5}"/>
              </a:ext>
            </a:extLst>
          </xdr:cNvPr>
          <xdr:cNvSpPr/>
        </xdr:nvSpPr>
        <xdr:spPr>
          <a:xfrm>
            <a:off x="412750" y="39077404"/>
            <a:ext cx="2698750" cy="84336"/>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5" name="VBA_Midspan_Report_CLT_B_2_0">
            <a:extLst>
              <a:ext uri="{FF2B5EF4-FFF2-40B4-BE49-F238E27FC236}">
                <a16:creationId xmlns:a16="http://schemas.microsoft.com/office/drawing/2014/main" id="{18FCBAA8-3EA7-3EAB-EA09-B37A987C79C7}"/>
              </a:ext>
            </a:extLst>
          </xdr:cNvPr>
          <xdr:cNvSpPr/>
        </xdr:nvSpPr>
        <xdr:spPr>
          <a:xfrm>
            <a:off x="412750" y="3916174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6" name="VBA_Midspan_Report_CLT_B_2_1">
            <a:extLst>
              <a:ext uri="{FF2B5EF4-FFF2-40B4-BE49-F238E27FC236}">
                <a16:creationId xmlns:a16="http://schemas.microsoft.com/office/drawing/2014/main" id="{213FBC26-102E-79D7-974A-5FC2E7D5F971}"/>
              </a:ext>
            </a:extLst>
          </xdr:cNvPr>
          <xdr:cNvSpPr/>
        </xdr:nvSpPr>
        <xdr:spPr>
          <a:xfrm>
            <a:off x="952500" y="3916174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7" name="VBA_Midspan_Report_CLT_B_2_2">
            <a:extLst>
              <a:ext uri="{FF2B5EF4-FFF2-40B4-BE49-F238E27FC236}">
                <a16:creationId xmlns:a16="http://schemas.microsoft.com/office/drawing/2014/main" id="{D7408461-C94A-B960-64A0-9EEF5D2C9D46}"/>
              </a:ext>
            </a:extLst>
          </xdr:cNvPr>
          <xdr:cNvSpPr/>
        </xdr:nvSpPr>
        <xdr:spPr>
          <a:xfrm>
            <a:off x="1492250" y="3916174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8" name="VBA_Midspan_Report_CLT_B_2_3">
            <a:extLst>
              <a:ext uri="{FF2B5EF4-FFF2-40B4-BE49-F238E27FC236}">
                <a16:creationId xmlns:a16="http://schemas.microsoft.com/office/drawing/2014/main" id="{6237FB24-4631-6A84-E070-9F23D4DC6AC6}"/>
              </a:ext>
            </a:extLst>
          </xdr:cNvPr>
          <xdr:cNvSpPr/>
        </xdr:nvSpPr>
        <xdr:spPr>
          <a:xfrm>
            <a:off x="2032000" y="39161740"/>
            <a:ext cx="539750" cy="126504"/>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679" name="VBA_Midspan_Report_CLT_B_2_4">
            <a:extLst>
              <a:ext uri="{FF2B5EF4-FFF2-40B4-BE49-F238E27FC236}">
                <a16:creationId xmlns:a16="http://schemas.microsoft.com/office/drawing/2014/main" id="{E6CB76A1-02B2-2891-D15B-80A75E2477F8}"/>
              </a:ext>
            </a:extLst>
          </xdr:cNvPr>
          <xdr:cNvSpPr/>
        </xdr:nvSpPr>
        <xdr:spPr>
          <a:xfrm>
            <a:off x="2571750" y="39161740"/>
            <a:ext cx="539750" cy="126504"/>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80" name="VBA_Midspan_Report_CLT_Sup">
            <a:extLst>
              <a:ext uri="{FF2B5EF4-FFF2-40B4-BE49-F238E27FC236}">
                <a16:creationId xmlns:a16="http://schemas.microsoft.com/office/drawing/2014/main" id="{2C85FAED-B14C-72F7-BB78-C98D119DE005}"/>
              </a:ext>
            </a:extLst>
          </xdr:cNvPr>
          <xdr:cNvCxnSpPr/>
        </xdr:nvCxnSpPr>
        <xdr:spPr>
          <a:xfrm>
            <a:off x="412750" y="38950900"/>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9681" name="VBA_Midspan_Report_CLT_Inf">
            <a:extLst>
              <a:ext uri="{FF2B5EF4-FFF2-40B4-BE49-F238E27FC236}">
                <a16:creationId xmlns:a16="http://schemas.microsoft.com/office/drawing/2014/main" id="{84BC0D0B-573A-1C71-3F77-69BD1F17D758}"/>
              </a:ext>
            </a:extLst>
          </xdr:cNvPr>
          <xdr:cNvCxnSpPr/>
        </xdr:nvCxnSpPr>
        <xdr:spPr>
          <a:xfrm>
            <a:off x="412750" y="39288244"/>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9682" name="VBA_Midspan_Report_CLT_SX">
            <a:extLst>
              <a:ext uri="{FF2B5EF4-FFF2-40B4-BE49-F238E27FC236}">
                <a16:creationId xmlns:a16="http://schemas.microsoft.com/office/drawing/2014/main" id="{F2664119-088F-0BBB-8C99-7292A2A4D231}"/>
              </a:ext>
            </a:extLst>
          </xdr:cNvPr>
          <xdr:cNvCxnSpPr/>
        </xdr:nvCxnSpPr>
        <xdr:spPr>
          <a:xfrm>
            <a:off x="412750" y="38950900"/>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683" name="VBA_Midspan_Report_CLT_DX">
            <a:extLst>
              <a:ext uri="{FF2B5EF4-FFF2-40B4-BE49-F238E27FC236}">
                <a16:creationId xmlns:a16="http://schemas.microsoft.com/office/drawing/2014/main" id="{187259FF-C14B-FAD0-77D9-A88E57DDFCB0}"/>
              </a:ext>
            </a:extLst>
          </xdr:cNvPr>
          <xdr:cNvCxnSpPr/>
        </xdr:nvCxnSpPr>
        <xdr:spPr>
          <a:xfrm>
            <a:off x="3111500" y="38950900"/>
            <a:ext cx="0" cy="337344"/>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9684" name="VBA_Midspan_Report_Trave">
            <a:extLst>
              <a:ext uri="{FF2B5EF4-FFF2-40B4-BE49-F238E27FC236}">
                <a16:creationId xmlns:a16="http://schemas.microsoft.com/office/drawing/2014/main" id="{C5C6B078-F4CC-5BF8-A35B-EAA4905B9DE4}"/>
              </a:ext>
            </a:extLst>
          </xdr:cNvPr>
          <xdr:cNvSpPr/>
        </xdr:nvSpPr>
        <xdr:spPr>
          <a:xfrm>
            <a:off x="1424781" y="39288244"/>
            <a:ext cx="674688" cy="539750"/>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85" name="VBA_Midspan_Report_GL_L_1">
            <a:extLst>
              <a:ext uri="{FF2B5EF4-FFF2-40B4-BE49-F238E27FC236}">
                <a16:creationId xmlns:a16="http://schemas.microsoft.com/office/drawing/2014/main" id="{81911A4D-F831-9DC6-0A39-8CEED892754C}"/>
              </a:ext>
            </a:extLst>
          </xdr:cNvPr>
          <xdr:cNvCxnSpPr/>
        </xdr:nvCxnSpPr>
        <xdr:spPr>
          <a:xfrm>
            <a:off x="1424781" y="39468161"/>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86" name="VBA_Midspan_Report_GL_L_2">
            <a:extLst>
              <a:ext uri="{FF2B5EF4-FFF2-40B4-BE49-F238E27FC236}">
                <a16:creationId xmlns:a16="http://schemas.microsoft.com/office/drawing/2014/main" id="{930AB0BF-0FBF-7A94-E633-6992659FBE4E}"/>
              </a:ext>
            </a:extLst>
          </xdr:cNvPr>
          <xdr:cNvCxnSpPr/>
        </xdr:nvCxnSpPr>
        <xdr:spPr>
          <a:xfrm>
            <a:off x="1424781" y="39648076"/>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9687" name="VBA_Midspan_Report_Bordo_SX">
            <a:extLst>
              <a:ext uri="{FF2B5EF4-FFF2-40B4-BE49-F238E27FC236}">
                <a16:creationId xmlns:a16="http://schemas.microsoft.com/office/drawing/2014/main" id="{E4FAF273-3B61-86CC-63C9-865AF3036A56}"/>
              </a:ext>
            </a:extLst>
          </xdr:cNvPr>
          <xdr:cNvCxnSpPr/>
        </xdr:nvCxnSpPr>
        <xdr:spPr>
          <a:xfrm>
            <a:off x="1424781" y="39288244"/>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9688" name="VBA_Midspan_Report_Bordo_DX">
            <a:extLst>
              <a:ext uri="{FF2B5EF4-FFF2-40B4-BE49-F238E27FC236}">
                <a16:creationId xmlns:a16="http://schemas.microsoft.com/office/drawing/2014/main" id="{025E3085-D25D-97A6-B035-B299742ACEF1}"/>
              </a:ext>
            </a:extLst>
          </xdr:cNvPr>
          <xdr:cNvCxnSpPr/>
        </xdr:nvCxnSpPr>
        <xdr:spPr>
          <a:xfrm>
            <a:off x="2099469" y="39288244"/>
            <a:ext cx="0" cy="53975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9689" name="VBA_Midspan_Report_Bordo_Sup">
            <a:extLst>
              <a:ext uri="{FF2B5EF4-FFF2-40B4-BE49-F238E27FC236}">
                <a16:creationId xmlns:a16="http://schemas.microsoft.com/office/drawing/2014/main" id="{486C0AEC-96A7-DF7B-EB6A-A39BFE4D50D6}"/>
              </a:ext>
            </a:extLst>
          </xdr:cNvPr>
          <xdr:cNvCxnSpPr/>
        </xdr:nvCxnSpPr>
        <xdr:spPr>
          <a:xfrm>
            <a:off x="1424781" y="39288244"/>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9690" name="VBA_Midspan_Report_BordoTaglio">
            <a:extLst>
              <a:ext uri="{FF2B5EF4-FFF2-40B4-BE49-F238E27FC236}">
                <a16:creationId xmlns:a16="http://schemas.microsoft.com/office/drawing/2014/main" id="{25327031-6B8A-0C45-8DAB-D2F780A9598F}"/>
              </a:ext>
            </a:extLst>
          </xdr:cNvPr>
          <xdr:cNvCxnSpPr/>
        </xdr:nvCxnSpPr>
        <xdr:spPr>
          <a:xfrm>
            <a:off x="1424781" y="39827994"/>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9691" name="VBA_Midspan_Report_SharpMetal_1">
            <a:extLst>
              <a:ext uri="{FF2B5EF4-FFF2-40B4-BE49-F238E27FC236}">
                <a16:creationId xmlns:a16="http://schemas.microsoft.com/office/drawing/2014/main" id="{6A3179AB-9F95-184F-0FF3-1EECD284DBC1}"/>
              </a:ext>
            </a:extLst>
          </xdr:cNvPr>
          <xdr:cNvSpPr/>
        </xdr:nvSpPr>
        <xdr:spPr>
          <a:xfrm>
            <a:off x="1551285" y="39271377"/>
            <a:ext cx="210840" cy="33734"/>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92" name="VBA_Midspan_Report_ViteTBS_1">
            <a:extLst>
              <a:ext uri="{FF2B5EF4-FFF2-40B4-BE49-F238E27FC236}">
                <a16:creationId xmlns:a16="http://schemas.microsoft.com/office/drawing/2014/main" id="{E27ABC97-EA9B-BB3F-2D24-666035F9C1C5}"/>
              </a:ext>
            </a:extLst>
          </xdr:cNvPr>
          <xdr:cNvCxnSpPr/>
        </xdr:nvCxnSpPr>
        <xdr:spPr>
          <a:xfrm>
            <a:off x="1656705" y="38950900"/>
            <a:ext cx="0" cy="834926"/>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9693" name="VBA_Midspan_Report_TestaTBS_1">
            <a:extLst>
              <a:ext uri="{FF2B5EF4-FFF2-40B4-BE49-F238E27FC236}">
                <a16:creationId xmlns:a16="http://schemas.microsoft.com/office/drawing/2014/main" id="{ECDC6C91-98EC-A9CC-BF0B-B7A5EBEBCAC5}"/>
              </a:ext>
            </a:extLst>
          </xdr:cNvPr>
          <xdr:cNvCxnSpPr/>
        </xdr:nvCxnSpPr>
        <xdr:spPr>
          <a:xfrm>
            <a:off x="1631404" y="38950900"/>
            <a:ext cx="50602"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sp macro="" textlink="">
        <xdr:nvSpPr>
          <xdr:cNvPr id="9694" name="VBA_Midspan_Report_SharpMetal_2">
            <a:extLst>
              <a:ext uri="{FF2B5EF4-FFF2-40B4-BE49-F238E27FC236}">
                <a16:creationId xmlns:a16="http://schemas.microsoft.com/office/drawing/2014/main" id="{AD9256C5-A6AA-413D-C2F3-B9BB2FC6C690}"/>
              </a:ext>
            </a:extLst>
          </xdr:cNvPr>
          <xdr:cNvSpPr/>
        </xdr:nvSpPr>
        <xdr:spPr>
          <a:xfrm>
            <a:off x="1762125" y="39271377"/>
            <a:ext cx="210840" cy="33734"/>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695" name="VBA_Midspan_Report_ViteTBS_2">
            <a:extLst>
              <a:ext uri="{FF2B5EF4-FFF2-40B4-BE49-F238E27FC236}">
                <a16:creationId xmlns:a16="http://schemas.microsoft.com/office/drawing/2014/main" id="{BEC5E3C6-7100-3142-F5F2-5AA8F4EDB513}"/>
              </a:ext>
            </a:extLst>
          </xdr:cNvPr>
          <xdr:cNvCxnSpPr/>
        </xdr:nvCxnSpPr>
        <xdr:spPr>
          <a:xfrm>
            <a:off x="1867545" y="38950900"/>
            <a:ext cx="0" cy="834926"/>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9696" name="VBA_Midspan_Report_TestaTBS_2">
            <a:extLst>
              <a:ext uri="{FF2B5EF4-FFF2-40B4-BE49-F238E27FC236}">
                <a16:creationId xmlns:a16="http://schemas.microsoft.com/office/drawing/2014/main" id="{ABD4F558-EFB1-5448-E5F1-62E730EA4EDB}"/>
              </a:ext>
            </a:extLst>
          </xdr:cNvPr>
          <xdr:cNvCxnSpPr/>
        </xdr:nvCxnSpPr>
        <xdr:spPr>
          <a:xfrm>
            <a:off x="1842244" y="38950900"/>
            <a:ext cx="50602"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9697" name="VBA_Midspan_Report_QLine_28">
            <a:extLst>
              <a:ext uri="{FF2B5EF4-FFF2-40B4-BE49-F238E27FC236}">
                <a16:creationId xmlns:a16="http://schemas.microsoft.com/office/drawing/2014/main" id="{9404C335-CC22-EDC4-2EE4-1D39113FEE53}"/>
              </a:ext>
            </a:extLst>
          </xdr:cNvPr>
          <xdr:cNvCxnSpPr/>
        </xdr:nvCxnSpPr>
        <xdr:spPr>
          <a:xfrm>
            <a:off x="1551285" y="39178111"/>
            <a:ext cx="210840"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698" name="VBA_Midspan_Report_QText_29">
            <a:extLst>
              <a:ext uri="{FF2B5EF4-FFF2-40B4-BE49-F238E27FC236}">
                <a16:creationId xmlns:a16="http://schemas.microsoft.com/office/drawing/2014/main" id="{C42A5476-CF44-7A65-B3CF-BD66FA4544B2}"/>
              </a:ext>
            </a:extLst>
          </xdr:cNvPr>
          <xdr:cNvSpPr txBox="1"/>
        </xdr:nvSpPr>
        <xdr:spPr>
          <a:xfrm>
            <a:off x="1307455" y="39025711"/>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9699" name="VBA_Midspan_Report_QLine_30">
            <a:extLst>
              <a:ext uri="{FF2B5EF4-FFF2-40B4-BE49-F238E27FC236}">
                <a16:creationId xmlns:a16="http://schemas.microsoft.com/office/drawing/2014/main" id="{BF211191-FE4C-0534-3B07-A3FE35C2E0F9}"/>
              </a:ext>
            </a:extLst>
          </xdr:cNvPr>
          <xdr:cNvCxnSpPr/>
        </xdr:nvCxnSpPr>
        <xdr:spPr>
          <a:xfrm>
            <a:off x="1972965" y="38792944"/>
            <a:ext cx="12650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700" name="VBA_Midspan_Report_QText_31">
            <a:extLst>
              <a:ext uri="{FF2B5EF4-FFF2-40B4-BE49-F238E27FC236}">
                <a16:creationId xmlns:a16="http://schemas.microsoft.com/office/drawing/2014/main" id="{ABDF7CCD-E6AF-632C-84E5-FC8CB4170698}"/>
              </a:ext>
            </a:extLst>
          </xdr:cNvPr>
          <xdr:cNvSpPr txBox="1"/>
        </xdr:nvSpPr>
        <xdr:spPr>
          <a:xfrm>
            <a:off x="1686967" y="38640544"/>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27 mm</a:t>
            </a:r>
          </a:p>
        </xdr:txBody>
      </xdr:sp>
      <xdr:cxnSp macro="">
        <xdr:nvCxnSpPr>
          <xdr:cNvPr id="9701" name="VBA_Midspan_Report_QLine_32">
            <a:extLst>
              <a:ext uri="{FF2B5EF4-FFF2-40B4-BE49-F238E27FC236}">
                <a16:creationId xmlns:a16="http://schemas.microsoft.com/office/drawing/2014/main" id="{8DA1D511-36AF-8D9D-1A02-26A5013ABACE}"/>
              </a:ext>
            </a:extLst>
          </xdr:cNvPr>
          <xdr:cNvCxnSpPr/>
        </xdr:nvCxnSpPr>
        <xdr:spPr>
          <a:xfrm>
            <a:off x="1424781" y="40018494"/>
            <a:ext cx="23192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702" name="VBA_Midspan_Report_QText_33">
            <a:extLst>
              <a:ext uri="{FF2B5EF4-FFF2-40B4-BE49-F238E27FC236}">
                <a16:creationId xmlns:a16="http://schemas.microsoft.com/office/drawing/2014/main" id="{C9004D13-884B-74AA-4389-E5E6C7709504}"/>
              </a:ext>
            </a:extLst>
          </xdr:cNvPr>
          <xdr:cNvSpPr txBox="1"/>
        </xdr:nvSpPr>
        <xdr:spPr>
          <a:xfrm>
            <a:off x="1191493" y="39866094"/>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55 mm</a:t>
            </a:r>
          </a:p>
        </xdr:txBody>
      </xdr:sp>
    </xdr:grpSp>
    <xdr:clientData/>
  </xdr:twoCellAnchor>
  <xdr:twoCellAnchor>
    <xdr:from>
      <xdr:col>1</xdr:col>
      <xdr:colOff>467137</xdr:colOff>
      <xdr:row>162</xdr:row>
      <xdr:rowOff>0</xdr:rowOff>
    </xdr:from>
    <xdr:to>
      <xdr:col>5</xdr:col>
      <xdr:colOff>9112</xdr:colOff>
      <xdr:row>163</xdr:row>
      <xdr:rowOff>0</xdr:rowOff>
    </xdr:to>
    <xdr:grpSp>
      <xdr:nvGrpSpPr>
        <xdr:cNvPr id="12083" name="VBA_Schema_FaseI_Group">
          <a:extLst>
            <a:ext uri="{FF2B5EF4-FFF2-40B4-BE49-F238E27FC236}">
              <a16:creationId xmlns:a16="http://schemas.microsoft.com/office/drawing/2014/main" id="{55C7C897-57AB-6030-E872-BF72854B5438}"/>
            </a:ext>
          </a:extLst>
        </xdr:cNvPr>
        <xdr:cNvGrpSpPr>
          <a:grpSpLocks/>
        </xdr:cNvGrpSpPr>
      </xdr:nvGrpSpPr>
      <xdr:grpSpPr>
        <a:xfrm>
          <a:off x="562387" y="44891325"/>
          <a:ext cx="2399475" cy="1343025"/>
          <a:chOff x="120650" y="44802425"/>
          <a:chExt cx="3221990" cy="1803400"/>
        </a:xfrm>
      </xdr:grpSpPr>
      <xdr:sp macro="" textlink="">
        <xdr:nvSpPr>
          <xdr:cNvPr id="9704" name="VBA_Schema_FaseI_Trave">
            <a:extLst>
              <a:ext uri="{FF2B5EF4-FFF2-40B4-BE49-F238E27FC236}">
                <a16:creationId xmlns:a16="http://schemas.microsoft.com/office/drawing/2014/main" id="{4C2B2D9C-8F4D-A999-F0FC-F5EAD61985B4}"/>
              </a:ext>
            </a:extLst>
          </xdr:cNvPr>
          <xdr:cNvSpPr/>
        </xdr:nvSpPr>
        <xdr:spPr>
          <a:xfrm>
            <a:off x="323850" y="45335825"/>
            <a:ext cx="2876550" cy="50800"/>
          </a:xfrm>
          <a:prstGeom prst="rect">
            <a:avLst/>
          </a:prstGeom>
          <a:solidFill>
            <a:srgbClr val="5A4632"/>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705" name="VBA_Schema_FaseI_AppoggioFisso_Tri">
            <a:extLst>
              <a:ext uri="{FF2B5EF4-FFF2-40B4-BE49-F238E27FC236}">
                <a16:creationId xmlns:a16="http://schemas.microsoft.com/office/drawing/2014/main" id="{8F526EB4-3EE7-25F2-8E76-CB1288806F82}"/>
              </a:ext>
            </a:extLst>
          </xdr:cNvPr>
          <xdr:cNvSpPr/>
        </xdr:nvSpPr>
        <xdr:spPr>
          <a:xfrm>
            <a:off x="222250" y="45386625"/>
            <a:ext cx="203200" cy="2032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706" name="VBA_Schema_FaseI_AppoggioFisso_Base">
            <a:extLst>
              <a:ext uri="{FF2B5EF4-FFF2-40B4-BE49-F238E27FC236}">
                <a16:creationId xmlns:a16="http://schemas.microsoft.com/office/drawing/2014/main" id="{C5B858DC-1E2B-BF23-B923-521CA016C158}"/>
              </a:ext>
            </a:extLst>
          </xdr:cNvPr>
          <xdr:cNvCxnSpPr/>
        </xdr:nvCxnSpPr>
        <xdr:spPr>
          <a:xfrm>
            <a:off x="181610" y="45589825"/>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sp macro="" textlink="">
        <xdr:nvSpPr>
          <xdr:cNvPr id="9707" name="VBA_Schema_FaseI_AppoggioMobile_Tri">
            <a:extLst>
              <a:ext uri="{FF2B5EF4-FFF2-40B4-BE49-F238E27FC236}">
                <a16:creationId xmlns:a16="http://schemas.microsoft.com/office/drawing/2014/main" id="{C4CED039-4622-C638-F578-2A34CCCA6C66}"/>
              </a:ext>
            </a:extLst>
          </xdr:cNvPr>
          <xdr:cNvSpPr/>
        </xdr:nvSpPr>
        <xdr:spPr>
          <a:xfrm>
            <a:off x="3098800" y="45386625"/>
            <a:ext cx="203200" cy="1524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708" name="VBA_Schema_FaseI_AppoggioMobile_R1">
            <a:extLst>
              <a:ext uri="{FF2B5EF4-FFF2-40B4-BE49-F238E27FC236}">
                <a16:creationId xmlns:a16="http://schemas.microsoft.com/office/drawing/2014/main" id="{5E098907-9424-CDB3-64B6-BD803F25D4BD}"/>
              </a:ext>
            </a:extLst>
          </xdr:cNvPr>
          <xdr:cNvSpPr/>
        </xdr:nvSpPr>
        <xdr:spPr>
          <a:xfrm>
            <a:off x="3106928" y="4553902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9709" name="VBA_Schema_FaseI_AppoggioMobile_R2">
            <a:extLst>
              <a:ext uri="{FF2B5EF4-FFF2-40B4-BE49-F238E27FC236}">
                <a16:creationId xmlns:a16="http://schemas.microsoft.com/office/drawing/2014/main" id="{F256FEA4-2E5A-D021-E35D-8329A72B1E49}"/>
              </a:ext>
            </a:extLst>
          </xdr:cNvPr>
          <xdr:cNvSpPr/>
        </xdr:nvSpPr>
        <xdr:spPr>
          <a:xfrm>
            <a:off x="3236976" y="4553902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9710" name="VBA_Schema_FaseI_AppoggioMobile_Base">
            <a:extLst>
              <a:ext uri="{FF2B5EF4-FFF2-40B4-BE49-F238E27FC236}">
                <a16:creationId xmlns:a16="http://schemas.microsoft.com/office/drawing/2014/main" id="{25014489-A468-B93D-7B27-888B31B17F18}"/>
              </a:ext>
            </a:extLst>
          </xdr:cNvPr>
          <xdr:cNvCxnSpPr/>
        </xdr:nvCxnSpPr>
        <xdr:spPr>
          <a:xfrm>
            <a:off x="3058160" y="45595921"/>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cxnSp macro="">
        <xdr:nvCxnSpPr>
          <xdr:cNvPr id="9711" name="VBA_Schema_FaseI_Carico_LineaSup">
            <a:extLst>
              <a:ext uri="{FF2B5EF4-FFF2-40B4-BE49-F238E27FC236}">
                <a16:creationId xmlns:a16="http://schemas.microsoft.com/office/drawing/2014/main" id="{4CB92885-149A-29D1-C337-1FC42C1527D5}"/>
              </a:ext>
            </a:extLst>
          </xdr:cNvPr>
          <xdr:cNvCxnSpPr/>
        </xdr:nvCxnSpPr>
        <xdr:spPr>
          <a:xfrm>
            <a:off x="323850" y="45005625"/>
            <a:ext cx="2876550" cy="0"/>
          </a:xfrm>
          <a:prstGeom prst="line">
            <a:avLst/>
          </a:prstGeom>
          <a:ln w="15875">
            <a:solidFill>
              <a:srgbClr val="005AAA"/>
            </a:solidFill>
          </a:ln>
        </xdr:spPr>
        <xdr:style>
          <a:lnRef idx="1">
            <a:schemeClr val="accent1"/>
          </a:lnRef>
          <a:fillRef idx="0">
            <a:schemeClr val="accent1"/>
          </a:fillRef>
          <a:effectRef idx="0">
            <a:schemeClr val="accent1"/>
          </a:effectRef>
          <a:fontRef idx="minor">
            <a:schemeClr val="tx1"/>
          </a:fontRef>
        </xdr:style>
      </xdr:cxnSp>
      <xdr:cxnSp macro="">
        <xdr:nvCxnSpPr>
          <xdr:cNvPr id="9712" name="VBA_Schema_FaseI_Carico_Freccia_0">
            <a:extLst>
              <a:ext uri="{FF2B5EF4-FFF2-40B4-BE49-F238E27FC236}">
                <a16:creationId xmlns:a16="http://schemas.microsoft.com/office/drawing/2014/main" id="{B8047839-F657-DE45-BC70-964CA19C3E40}"/>
              </a:ext>
            </a:extLst>
          </xdr:cNvPr>
          <xdr:cNvCxnSpPr/>
        </xdr:nvCxnSpPr>
        <xdr:spPr>
          <a:xfrm>
            <a:off x="32385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9713" name="VBA_Schema_FaseI_Carico_Freccia_1">
            <a:extLst>
              <a:ext uri="{FF2B5EF4-FFF2-40B4-BE49-F238E27FC236}">
                <a16:creationId xmlns:a16="http://schemas.microsoft.com/office/drawing/2014/main" id="{5659AC2E-FF87-0DBC-D2B6-35C5C5975844}"/>
              </a:ext>
            </a:extLst>
          </xdr:cNvPr>
          <xdr:cNvCxnSpPr/>
        </xdr:nvCxnSpPr>
        <xdr:spPr>
          <a:xfrm>
            <a:off x="803275"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9714" name="VBA_Schema_FaseI_Carico_Freccia_2">
            <a:extLst>
              <a:ext uri="{FF2B5EF4-FFF2-40B4-BE49-F238E27FC236}">
                <a16:creationId xmlns:a16="http://schemas.microsoft.com/office/drawing/2014/main" id="{52F35ACA-9247-7CCA-8AC5-33740776315A}"/>
              </a:ext>
            </a:extLst>
          </xdr:cNvPr>
          <xdr:cNvCxnSpPr/>
        </xdr:nvCxnSpPr>
        <xdr:spPr>
          <a:xfrm>
            <a:off x="128270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9715" name="VBA_Schema_FaseI_Carico_Freccia_3">
            <a:extLst>
              <a:ext uri="{FF2B5EF4-FFF2-40B4-BE49-F238E27FC236}">
                <a16:creationId xmlns:a16="http://schemas.microsoft.com/office/drawing/2014/main" id="{2366B7C8-F015-C4CC-ACCF-F1C77270DA6C}"/>
              </a:ext>
            </a:extLst>
          </xdr:cNvPr>
          <xdr:cNvCxnSpPr/>
        </xdr:nvCxnSpPr>
        <xdr:spPr>
          <a:xfrm>
            <a:off x="1762125"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9716" name="VBA_Schema_FaseI_Carico_Freccia_4">
            <a:extLst>
              <a:ext uri="{FF2B5EF4-FFF2-40B4-BE49-F238E27FC236}">
                <a16:creationId xmlns:a16="http://schemas.microsoft.com/office/drawing/2014/main" id="{C85ED3E2-E722-E17B-E842-E3EF3E2DD08B}"/>
              </a:ext>
            </a:extLst>
          </xdr:cNvPr>
          <xdr:cNvCxnSpPr/>
        </xdr:nvCxnSpPr>
        <xdr:spPr>
          <a:xfrm>
            <a:off x="224155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9717" name="VBA_Schema_FaseI_Carico_Freccia_5">
            <a:extLst>
              <a:ext uri="{FF2B5EF4-FFF2-40B4-BE49-F238E27FC236}">
                <a16:creationId xmlns:a16="http://schemas.microsoft.com/office/drawing/2014/main" id="{7BBFEBEB-1E04-5B9E-591B-1F902325D227}"/>
              </a:ext>
            </a:extLst>
          </xdr:cNvPr>
          <xdr:cNvCxnSpPr/>
        </xdr:nvCxnSpPr>
        <xdr:spPr>
          <a:xfrm>
            <a:off x="2720975"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9718" name="VBA_Schema_FaseI_Carico_Freccia_6">
            <a:extLst>
              <a:ext uri="{FF2B5EF4-FFF2-40B4-BE49-F238E27FC236}">
                <a16:creationId xmlns:a16="http://schemas.microsoft.com/office/drawing/2014/main" id="{936F64AD-37E3-B252-A4D7-94E1A9CFAA0E}"/>
              </a:ext>
            </a:extLst>
          </xdr:cNvPr>
          <xdr:cNvCxnSpPr/>
        </xdr:nvCxnSpPr>
        <xdr:spPr>
          <a:xfrm>
            <a:off x="320040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9719" name="VBA_Schema_FaseI_Carico_Label">
            <a:extLst>
              <a:ext uri="{FF2B5EF4-FFF2-40B4-BE49-F238E27FC236}">
                <a16:creationId xmlns:a16="http://schemas.microsoft.com/office/drawing/2014/main" id="{344C9C0B-28A0-8AC0-45D6-E7A622A062A5}"/>
              </a:ext>
            </a:extLst>
          </xdr:cNvPr>
          <xdr:cNvSpPr txBox="1"/>
        </xdr:nvSpPr>
        <xdr:spPr>
          <a:xfrm>
            <a:off x="1190625" y="4480242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3C78"/>
                </a:solidFill>
                <a:latin typeface="Calibri" panose="020F0502020204030204" pitchFamily="34" charset="0"/>
              </a:rPr>
              <a:t>qⅠ,d = 2,55 kN/m</a:t>
            </a:r>
          </a:p>
        </xdr:txBody>
      </xdr:sp>
      <xdr:sp macro="" textlink="">
        <xdr:nvSpPr>
          <xdr:cNvPr id="9720" name="VBA_Schema_FaseI_Span_Label">
            <a:extLst>
              <a:ext uri="{FF2B5EF4-FFF2-40B4-BE49-F238E27FC236}">
                <a16:creationId xmlns:a16="http://schemas.microsoft.com/office/drawing/2014/main" id="{40A04D95-EAEA-B6AB-0E1C-974C99733FD2}"/>
              </a:ext>
            </a:extLst>
          </xdr:cNvPr>
          <xdr:cNvSpPr txBox="1"/>
        </xdr:nvSpPr>
        <xdr:spPr>
          <a:xfrm>
            <a:off x="1190625" y="4538662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ℓ = 6000 mm</a:t>
            </a:r>
          </a:p>
        </xdr:txBody>
      </xdr:sp>
      <xdr:cxnSp macro="">
        <xdr:nvCxnSpPr>
          <xdr:cNvPr id="9721" name="VBA_Schema_FaseI_Taglio_Zero">
            <a:extLst>
              <a:ext uri="{FF2B5EF4-FFF2-40B4-BE49-F238E27FC236}">
                <a16:creationId xmlns:a16="http://schemas.microsoft.com/office/drawing/2014/main" id="{9BFE88FC-7E24-ADD1-8640-253E25FC62E4}"/>
              </a:ext>
            </a:extLst>
          </xdr:cNvPr>
          <xdr:cNvCxnSpPr/>
        </xdr:nvCxnSpPr>
        <xdr:spPr>
          <a:xfrm>
            <a:off x="323850" y="4579302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cxnSp macro="">
        <xdr:nvCxnSpPr>
          <xdr:cNvPr id="9722" name="VBA_Schema_FaseI_Taglio_Retta">
            <a:extLst>
              <a:ext uri="{FF2B5EF4-FFF2-40B4-BE49-F238E27FC236}">
                <a16:creationId xmlns:a16="http://schemas.microsoft.com/office/drawing/2014/main" id="{E72DD412-3C79-BDDD-2D9F-0549FE24F57E}"/>
              </a:ext>
            </a:extLst>
          </xdr:cNvPr>
          <xdr:cNvCxnSpPr/>
        </xdr:nvCxnSpPr>
        <xdr:spPr>
          <a:xfrm>
            <a:off x="323850" y="45539025"/>
            <a:ext cx="2876550" cy="508000"/>
          </a:xfrm>
          <a:prstGeom prst="line">
            <a:avLst/>
          </a:prstGeom>
          <a:ln w="19050">
            <a:solidFill>
              <a:srgbClr val="0096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9723" name="VBA_Schema_FaseI_Taglio_Label">
            <a:extLst>
              <a:ext uri="{FF2B5EF4-FFF2-40B4-BE49-F238E27FC236}">
                <a16:creationId xmlns:a16="http://schemas.microsoft.com/office/drawing/2014/main" id="{ADDB6534-637B-CA1E-BDA8-A5A4574DACC6}"/>
              </a:ext>
            </a:extLst>
          </xdr:cNvPr>
          <xdr:cNvSpPr txBox="1"/>
        </xdr:nvSpPr>
        <xdr:spPr>
          <a:xfrm>
            <a:off x="120650" y="4570412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963C"/>
                </a:solidFill>
                <a:latin typeface="Calibri" panose="020F0502020204030204" pitchFamily="34" charset="0"/>
              </a:rPr>
              <a:t>V</a:t>
            </a:r>
          </a:p>
        </xdr:txBody>
      </xdr:sp>
      <xdr:sp macro="" textlink="">
        <xdr:nvSpPr>
          <xdr:cNvPr id="9724" name="VBA_Schema_FaseI_Taglio_Max">
            <a:extLst>
              <a:ext uri="{FF2B5EF4-FFF2-40B4-BE49-F238E27FC236}">
                <a16:creationId xmlns:a16="http://schemas.microsoft.com/office/drawing/2014/main" id="{7B569BFA-79D2-6B08-9D1D-B4323CA57431}"/>
              </a:ext>
            </a:extLst>
          </xdr:cNvPr>
          <xdr:cNvSpPr txBox="1"/>
        </xdr:nvSpPr>
        <xdr:spPr>
          <a:xfrm>
            <a:off x="374650" y="4538662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800" b="1">
                <a:solidFill>
                  <a:srgbClr val="007832"/>
                </a:solidFill>
                <a:latin typeface="Calibri" panose="020F0502020204030204" pitchFamily="34" charset="0"/>
              </a:rPr>
              <a:t>V=7,65 kN</a:t>
            </a:r>
          </a:p>
        </xdr:txBody>
      </xdr:sp>
      <xdr:cxnSp macro="">
        <xdr:nvCxnSpPr>
          <xdr:cNvPr id="9725" name="VBA_Schema_FaseI_Momento_Zero">
            <a:extLst>
              <a:ext uri="{FF2B5EF4-FFF2-40B4-BE49-F238E27FC236}">
                <a16:creationId xmlns:a16="http://schemas.microsoft.com/office/drawing/2014/main" id="{9C3C66B9-6A03-2E6B-017C-FC5478184C76}"/>
              </a:ext>
            </a:extLst>
          </xdr:cNvPr>
          <xdr:cNvCxnSpPr/>
        </xdr:nvCxnSpPr>
        <xdr:spPr>
          <a:xfrm>
            <a:off x="323850" y="4617402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sp macro="" textlink="">
        <xdr:nvSpPr>
          <xdr:cNvPr id="9726" name="VBA_Schema_FaseI_Momento_Parabola">
            <a:extLst>
              <a:ext uri="{FF2B5EF4-FFF2-40B4-BE49-F238E27FC236}">
                <a16:creationId xmlns:a16="http://schemas.microsoft.com/office/drawing/2014/main" id="{4CA8327C-1E1F-0AE1-BE42-CD4DB559B274}"/>
              </a:ext>
            </a:extLst>
          </xdr:cNvPr>
          <xdr:cNvSpPr/>
        </xdr:nvSpPr>
        <xdr:spPr>
          <a:xfrm>
            <a:off x="323850" y="46174025"/>
            <a:ext cx="2876550" cy="254000"/>
          </a:xfrm>
          <a:custGeom>
            <a:avLst/>
            <a:gdLst>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Lst>
            <a:rect l="l" t="t" r="r" b="b"/>
            <a:pathLst>
              <a:path w="2876550" h="254000">
                <a:moveTo>
                  <a:pt x="0" y="0"/>
                </a:moveTo>
                <a:lnTo>
                  <a:pt x="119856" y="40568"/>
                </a:lnTo>
                <a:cubicBezTo>
                  <a:pt x="159808" y="53503"/>
                  <a:pt x="199761" y="65851"/>
                  <a:pt x="239713" y="77611"/>
                </a:cubicBezTo>
                <a:cubicBezTo>
                  <a:pt x="279665" y="89371"/>
                  <a:pt x="319617" y="100542"/>
                  <a:pt x="359569" y="111125"/>
                </a:cubicBezTo>
                <a:cubicBezTo>
                  <a:pt x="399521" y="121708"/>
                  <a:pt x="439473" y="131704"/>
                  <a:pt x="479425" y="141111"/>
                </a:cubicBezTo>
                <a:cubicBezTo>
                  <a:pt x="519377" y="150518"/>
                  <a:pt x="559329" y="159337"/>
                  <a:pt x="599281" y="167568"/>
                </a:cubicBezTo>
                <a:cubicBezTo>
                  <a:pt x="639233" y="175800"/>
                  <a:pt x="679186" y="183444"/>
                  <a:pt x="719138" y="190500"/>
                </a:cubicBezTo>
                <a:cubicBezTo>
                  <a:pt x="759090" y="197556"/>
                  <a:pt x="799042" y="204023"/>
                  <a:pt x="838994" y="209903"/>
                </a:cubicBezTo>
                <a:cubicBezTo>
                  <a:pt x="878946" y="215783"/>
                  <a:pt x="918898" y="221074"/>
                  <a:pt x="958850" y="225778"/>
                </a:cubicBezTo>
                <a:cubicBezTo>
                  <a:pt x="998802" y="230482"/>
                  <a:pt x="1038754" y="234598"/>
                  <a:pt x="1078706" y="238125"/>
                </a:cubicBezTo>
                <a:cubicBezTo>
                  <a:pt x="1118658" y="241653"/>
                  <a:pt x="1158611" y="244591"/>
                  <a:pt x="1198563" y="246943"/>
                </a:cubicBezTo>
                <a:cubicBezTo>
                  <a:pt x="1238515" y="249295"/>
                  <a:pt x="1278467" y="251060"/>
                  <a:pt x="1318419" y="252236"/>
                </a:cubicBezTo>
                <a:cubicBezTo>
                  <a:pt x="1358371" y="253412"/>
                  <a:pt x="1398323" y="254000"/>
                  <a:pt x="1438275" y="254000"/>
                </a:cubicBezTo>
                <a:cubicBezTo>
                  <a:pt x="1478227" y="254000"/>
                  <a:pt x="1518179" y="253412"/>
                  <a:pt x="1558131" y="252236"/>
                </a:cubicBezTo>
                <a:cubicBezTo>
                  <a:pt x="1598083" y="251060"/>
                  <a:pt x="1638036" y="249295"/>
                  <a:pt x="1677988" y="246943"/>
                </a:cubicBezTo>
                <a:cubicBezTo>
                  <a:pt x="1717940" y="244591"/>
                  <a:pt x="1757892" y="241653"/>
                  <a:pt x="1797844" y="238125"/>
                </a:cubicBezTo>
                <a:cubicBezTo>
                  <a:pt x="1837796" y="234598"/>
                  <a:pt x="1877748" y="230482"/>
                  <a:pt x="1917700" y="225778"/>
                </a:cubicBezTo>
                <a:cubicBezTo>
                  <a:pt x="1957652" y="221074"/>
                  <a:pt x="1997604" y="215783"/>
                  <a:pt x="2037556" y="209903"/>
                </a:cubicBezTo>
                <a:cubicBezTo>
                  <a:pt x="2077508" y="204023"/>
                  <a:pt x="2117461" y="197556"/>
                  <a:pt x="2157413" y="190500"/>
                </a:cubicBezTo>
                <a:cubicBezTo>
                  <a:pt x="2197365" y="183444"/>
                  <a:pt x="2237317" y="175800"/>
                  <a:pt x="2277269" y="167568"/>
                </a:cubicBezTo>
                <a:cubicBezTo>
                  <a:pt x="2317221" y="159337"/>
                  <a:pt x="2357173" y="150518"/>
                  <a:pt x="2397125" y="141111"/>
                </a:cubicBezTo>
                <a:cubicBezTo>
                  <a:pt x="2437077" y="131704"/>
                  <a:pt x="2477029" y="121708"/>
                  <a:pt x="2516981" y="111125"/>
                </a:cubicBezTo>
                <a:cubicBezTo>
                  <a:pt x="2556933" y="100542"/>
                  <a:pt x="2596886" y="89371"/>
                  <a:pt x="2636838" y="77611"/>
                </a:cubicBezTo>
                <a:cubicBezTo>
                  <a:pt x="2676790" y="65851"/>
                  <a:pt x="2716742" y="53503"/>
                  <a:pt x="2756694" y="40568"/>
                </a:cubicBezTo>
                <a:cubicBezTo>
                  <a:pt x="2796646" y="27633"/>
                  <a:pt x="2851580" y="8452"/>
                  <a:pt x="2876550" y="0"/>
                </a:cubicBezTo>
              </a:path>
            </a:pathLst>
          </a:custGeom>
          <a:ln w="19050">
            <a:solidFill>
              <a:srgbClr val="D21E1E"/>
            </a:solidFill>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it-IT" sz="1100"/>
          </a:p>
        </xdr:txBody>
      </xdr:sp>
      <xdr:sp macro="" textlink="">
        <xdr:nvSpPr>
          <xdr:cNvPr id="9727" name="VBA_Schema_FaseI_Momento_Label">
            <a:extLst>
              <a:ext uri="{FF2B5EF4-FFF2-40B4-BE49-F238E27FC236}">
                <a16:creationId xmlns:a16="http://schemas.microsoft.com/office/drawing/2014/main" id="{77A88183-27BE-6ED6-20C6-37887BD0D2E2}"/>
              </a:ext>
            </a:extLst>
          </xdr:cNvPr>
          <xdr:cNvSpPr txBox="1"/>
        </xdr:nvSpPr>
        <xdr:spPr>
          <a:xfrm>
            <a:off x="120650" y="4621212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D21E1E"/>
                </a:solidFill>
                <a:latin typeface="Calibri" panose="020F0502020204030204" pitchFamily="34" charset="0"/>
              </a:rPr>
              <a:t>M</a:t>
            </a:r>
          </a:p>
        </xdr:txBody>
      </xdr:sp>
      <xdr:sp macro="" textlink="">
        <xdr:nvSpPr>
          <xdr:cNvPr id="12082" name="VBA_Schema_FaseI_Momento_Max">
            <a:extLst>
              <a:ext uri="{FF2B5EF4-FFF2-40B4-BE49-F238E27FC236}">
                <a16:creationId xmlns:a16="http://schemas.microsoft.com/office/drawing/2014/main" id="{0B910B7B-A6D1-E341-119A-C3C4F08CA411}"/>
              </a:ext>
            </a:extLst>
          </xdr:cNvPr>
          <xdr:cNvSpPr txBox="1"/>
        </xdr:nvSpPr>
        <xdr:spPr>
          <a:xfrm>
            <a:off x="1190625" y="4645342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B41414"/>
                </a:solidFill>
                <a:latin typeface="Calibri" panose="020F0502020204030204" pitchFamily="34" charset="0"/>
              </a:rPr>
              <a:t>M=11,48 kNm</a:t>
            </a:r>
          </a:p>
        </xdr:txBody>
      </xdr:sp>
    </xdr:grpSp>
    <xdr:clientData/>
  </xdr:twoCellAnchor>
  <xdr:twoCellAnchor>
    <xdr:from>
      <xdr:col>7</xdr:col>
      <xdr:colOff>467137</xdr:colOff>
      <xdr:row>162</xdr:row>
      <xdr:rowOff>0</xdr:rowOff>
    </xdr:from>
    <xdr:to>
      <xdr:col>11</xdr:col>
      <xdr:colOff>9112</xdr:colOff>
      <xdr:row>163</xdr:row>
      <xdr:rowOff>0</xdr:rowOff>
    </xdr:to>
    <xdr:grpSp>
      <xdr:nvGrpSpPr>
        <xdr:cNvPr id="4941" name="VBA_Schema_FaseII_Group">
          <a:extLst>
            <a:ext uri="{FF2B5EF4-FFF2-40B4-BE49-F238E27FC236}">
              <a16:creationId xmlns:a16="http://schemas.microsoft.com/office/drawing/2014/main" id="{55964679-D15C-665B-7F41-82CDECDBB5B9}"/>
            </a:ext>
          </a:extLst>
        </xdr:cNvPr>
        <xdr:cNvGrpSpPr>
          <a:grpSpLocks/>
        </xdr:cNvGrpSpPr>
      </xdr:nvGrpSpPr>
      <xdr:grpSpPr>
        <a:xfrm>
          <a:off x="4277137" y="44891325"/>
          <a:ext cx="2399475" cy="1343025"/>
          <a:chOff x="3835400" y="44802425"/>
          <a:chExt cx="3221990" cy="1803400"/>
        </a:xfrm>
      </xdr:grpSpPr>
      <xdr:sp macro="" textlink="">
        <xdr:nvSpPr>
          <xdr:cNvPr id="12084" name="VBA_Schema_FaseII_Trave">
            <a:extLst>
              <a:ext uri="{FF2B5EF4-FFF2-40B4-BE49-F238E27FC236}">
                <a16:creationId xmlns:a16="http://schemas.microsoft.com/office/drawing/2014/main" id="{F0C3A411-4F3B-33C8-129B-8F7D83BE2D53}"/>
              </a:ext>
            </a:extLst>
          </xdr:cNvPr>
          <xdr:cNvSpPr/>
        </xdr:nvSpPr>
        <xdr:spPr>
          <a:xfrm>
            <a:off x="4038600" y="45335825"/>
            <a:ext cx="2876550" cy="50800"/>
          </a:xfrm>
          <a:prstGeom prst="rect">
            <a:avLst/>
          </a:prstGeom>
          <a:solidFill>
            <a:srgbClr val="5A4632"/>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2085" name="VBA_Schema_FaseII_AppoggioFisso_Tri">
            <a:extLst>
              <a:ext uri="{FF2B5EF4-FFF2-40B4-BE49-F238E27FC236}">
                <a16:creationId xmlns:a16="http://schemas.microsoft.com/office/drawing/2014/main" id="{394983CF-8CAF-902A-64F9-E753FBD3669D}"/>
              </a:ext>
            </a:extLst>
          </xdr:cNvPr>
          <xdr:cNvSpPr/>
        </xdr:nvSpPr>
        <xdr:spPr>
          <a:xfrm>
            <a:off x="3937000" y="45386625"/>
            <a:ext cx="203200" cy="2032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2086" name="VBA_Schema_FaseII_AppoggioFisso_Base">
            <a:extLst>
              <a:ext uri="{FF2B5EF4-FFF2-40B4-BE49-F238E27FC236}">
                <a16:creationId xmlns:a16="http://schemas.microsoft.com/office/drawing/2014/main" id="{CDCE1ACC-2B83-9581-1520-73E5AA212BF5}"/>
              </a:ext>
            </a:extLst>
          </xdr:cNvPr>
          <xdr:cNvCxnSpPr/>
        </xdr:nvCxnSpPr>
        <xdr:spPr>
          <a:xfrm>
            <a:off x="3896360" y="45589825"/>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sp macro="" textlink="">
        <xdr:nvSpPr>
          <xdr:cNvPr id="12087" name="VBA_Schema_FaseII_AppoggioMobile_Tri">
            <a:extLst>
              <a:ext uri="{FF2B5EF4-FFF2-40B4-BE49-F238E27FC236}">
                <a16:creationId xmlns:a16="http://schemas.microsoft.com/office/drawing/2014/main" id="{1F7F9B34-C109-477C-C5FF-24ED0120FA3B}"/>
              </a:ext>
            </a:extLst>
          </xdr:cNvPr>
          <xdr:cNvSpPr/>
        </xdr:nvSpPr>
        <xdr:spPr>
          <a:xfrm>
            <a:off x="6813550" y="45386625"/>
            <a:ext cx="203200" cy="1524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2088" name="VBA_Schema_FaseII_AppoggioMobile_R1">
            <a:extLst>
              <a:ext uri="{FF2B5EF4-FFF2-40B4-BE49-F238E27FC236}">
                <a16:creationId xmlns:a16="http://schemas.microsoft.com/office/drawing/2014/main" id="{33947DB7-D5D8-2A16-52C9-9437F4830A0C}"/>
              </a:ext>
            </a:extLst>
          </xdr:cNvPr>
          <xdr:cNvSpPr/>
        </xdr:nvSpPr>
        <xdr:spPr>
          <a:xfrm>
            <a:off x="6821678" y="4553902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12089" name="VBA_Schema_FaseII_AppoggioMobile_R2">
            <a:extLst>
              <a:ext uri="{FF2B5EF4-FFF2-40B4-BE49-F238E27FC236}">
                <a16:creationId xmlns:a16="http://schemas.microsoft.com/office/drawing/2014/main" id="{D0EEEEF4-8B13-2365-D6EE-D9501D71D47A}"/>
              </a:ext>
            </a:extLst>
          </xdr:cNvPr>
          <xdr:cNvSpPr/>
        </xdr:nvSpPr>
        <xdr:spPr>
          <a:xfrm>
            <a:off x="6951726" y="4553902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12090" name="VBA_Schema_FaseII_AppoggioMobile_Base">
            <a:extLst>
              <a:ext uri="{FF2B5EF4-FFF2-40B4-BE49-F238E27FC236}">
                <a16:creationId xmlns:a16="http://schemas.microsoft.com/office/drawing/2014/main" id="{F6FC56C5-0F84-8760-D051-7E24C48D4869}"/>
              </a:ext>
            </a:extLst>
          </xdr:cNvPr>
          <xdr:cNvCxnSpPr/>
        </xdr:nvCxnSpPr>
        <xdr:spPr>
          <a:xfrm>
            <a:off x="6772910" y="45595921"/>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cxnSp macro="">
        <xdr:nvCxnSpPr>
          <xdr:cNvPr id="12091" name="VBA_Schema_FaseII_Carico_LineaSup">
            <a:extLst>
              <a:ext uri="{FF2B5EF4-FFF2-40B4-BE49-F238E27FC236}">
                <a16:creationId xmlns:a16="http://schemas.microsoft.com/office/drawing/2014/main" id="{105EB272-0469-B5E8-B9A7-EBE8D2EEFDDD}"/>
              </a:ext>
            </a:extLst>
          </xdr:cNvPr>
          <xdr:cNvCxnSpPr/>
        </xdr:nvCxnSpPr>
        <xdr:spPr>
          <a:xfrm>
            <a:off x="4038600" y="45005625"/>
            <a:ext cx="2876550" cy="0"/>
          </a:xfrm>
          <a:prstGeom prst="line">
            <a:avLst/>
          </a:prstGeom>
          <a:ln w="15875">
            <a:solidFill>
              <a:srgbClr val="005AAA"/>
            </a:solidFill>
          </a:ln>
        </xdr:spPr>
        <xdr:style>
          <a:lnRef idx="1">
            <a:schemeClr val="accent1"/>
          </a:lnRef>
          <a:fillRef idx="0">
            <a:schemeClr val="accent1"/>
          </a:fillRef>
          <a:effectRef idx="0">
            <a:schemeClr val="accent1"/>
          </a:effectRef>
          <a:fontRef idx="minor">
            <a:schemeClr val="tx1"/>
          </a:fontRef>
        </xdr:style>
      </xdr:cxnSp>
      <xdr:cxnSp macro="">
        <xdr:nvCxnSpPr>
          <xdr:cNvPr id="12092" name="VBA_Schema_FaseII_Carico_Freccia_0">
            <a:extLst>
              <a:ext uri="{FF2B5EF4-FFF2-40B4-BE49-F238E27FC236}">
                <a16:creationId xmlns:a16="http://schemas.microsoft.com/office/drawing/2014/main" id="{F733B413-48EF-9183-1F7E-84F147B9907D}"/>
              </a:ext>
            </a:extLst>
          </xdr:cNvPr>
          <xdr:cNvCxnSpPr/>
        </xdr:nvCxnSpPr>
        <xdr:spPr>
          <a:xfrm>
            <a:off x="403860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12093" name="VBA_Schema_FaseII_Carico_Freccia_1">
            <a:extLst>
              <a:ext uri="{FF2B5EF4-FFF2-40B4-BE49-F238E27FC236}">
                <a16:creationId xmlns:a16="http://schemas.microsoft.com/office/drawing/2014/main" id="{5C805C57-E0DA-3466-CA76-C73550C191ED}"/>
              </a:ext>
            </a:extLst>
          </xdr:cNvPr>
          <xdr:cNvCxnSpPr/>
        </xdr:nvCxnSpPr>
        <xdr:spPr>
          <a:xfrm>
            <a:off x="4518025"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12094" name="VBA_Schema_FaseII_Carico_Freccia_2">
            <a:extLst>
              <a:ext uri="{FF2B5EF4-FFF2-40B4-BE49-F238E27FC236}">
                <a16:creationId xmlns:a16="http://schemas.microsoft.com/office/drawing/2014/main" id="{CC4B86CA-3F20-9185-34C9-B1415E98787D}"/>
              </a:ext>
            </a:extLst>
          </xdr:cNvPr>
          <xdr:cNvCxnSpPr/>
        </xdr:nvCxnSpPr>
        <xdr:spPr>
          <a:xfrm>
            <a:off x="499745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12095" name="VBA_Schema_FaseII_Carico_Freccia_3">
            <a:extLst>
              <a:ext uri="{FF2B5EF4-FFF2-40B4-BE49-F238E27FC236}">
                <a16:creationId xmlns:a16="http://schemas.microsoft.com/office/drawing/2014/main" id="{215994A2-85AF-3DBB-05AE-2E5E354077D6}"/>
              </a:ext>
            </a:extLst>
          </xdr:cNvPr>
          <xdr:cNvCxnSpPr/>
        </xdr:nvCxnSpPr>
        <xdr:spPr>
          <a:xfrm>
            <a:off x="5476875"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4928" name="VBA_Schema_FaseII_Carico_Freccia_4">
            <a:extLst>
              <a:ext uri="{FF2B5EF4-FFF2-40B4-BE49-F238E27FC236}">
                <a16:creationId xmlns:a16="http://schemas.microsoft.com/office/drawing/2014/main" id="{0009C750-EB14-CE1E-177C-D70F146016EB}"/>
              </a:ext>
            </a:extLst>
          </xdr:cNvPr>
          <xdr:cNvCxnSpPr/>
        </xdr:nvCxnSpPr>
        <xdr:spPr>
          <a:xfrm>
            <a:off x="595630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4929" name="VBA_Schema_FaseII_Carico_Freccia_5">
            <a:extLst>
              <a:ext uri="{FF2B5EF4-FFF2-40B4-BE49-F238E27FC236}">
                <a16:creationId xmlns:a16="http://schemas.microsoft.com/office/drawing/2014/main" id="{C8DC498E-E183-EFE0-E811-9E32F414F2E6}"/>
              </a:ext>
            </a:extLst>
          </xdr:cNvPr>
          <xdr:cNvCxnSpPr/>
        </xdr:nvCxnSpPr>
        <xdr:spPr>
          <a:xfrm>
            <a:off x="6435725"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4930" name="VBA_Schema_FaseII_Carico_Freccia_6">
            <a:extLst>
              <a:ext uri="{FF2B5EF4-FFF2-40B4-BE49-F238E27FC236}">
                <a16:creationId xmlns:a16="http://schemas.microsoft.com/office/drawing/2014/main" id="{94C4D963-CE8A-FC45-EFDE-FBAD27B763FB}"/>
              </a:ext>
            </a:extLst>
          </xdr:cNvPr>
          <xdr:cNvCxnSpPr/>
        </xdr:nvCxnSpPr>
        <xdr:spPr>
          <a:xfrm>
            <a:off x="6915150" y="4500562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31" name="VBA_Schema_FaseII_Carico_Label">
            <a:extLst>
              <a:ext uri="{FF2B5EF4-FFF2-40B4-BE49-F238E27FC236}">
                <a16:creationId xmlns:a16="http://schemas.microsoft.com/office/drawing/2014/main" id="{14EBEEC8-6971-D9CD-FB12-B07858F8C8D8}"/>
              </a:ext>
            </a:extLst>
          </xdr:cNvPr>
          <xdr:cNvSpPr txBox="1"/>
        </xdr:nvSpPr>
        <xdr:spPr>
          <a:xfrm>
            <a:off x="4905375" y="4480242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3C78"/>
                </a:solidFill>
                <a:latin typeface="Calibri" panose="020F0502020204030204" pitchFamily="34" charset="0"/>
              </a:rPr>
              <a:t>qⅡ,d = 4,35 kN/m</a:t>
            </a:r>
          </a:p>
        </xdr:txBody>
      </xdr:sp>
      <xdr:sp macro="" textlink="">
        <xdr:nvSpPr>
          <xdr:cNvPr id="4932" name="VBA_Schema_FaseII_Span_Label">
            <a:extLst>
              <a:ext uri="{FF2B5EF4-FFF2-40B4-BE49-F238E27FC236}">
                <a16:creationId xmlns:a16="http://schemas.microsoft.com/office/drawing/2014/main" id="{14EBAB9D-A01F-62DE-EC4D-0E749C1E39C6}"/>
              </a:ext>
            </a:extLst>
          </xdr:cNvPr>
          <xdr:cNvSpPr txBox="1"/>
        </xdr:nvSpPr>
        <xdr:spPr>
          <a:xfrm>
            <a:off x="4905375" y="4538662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ℓ = 6000 mm</a:t>
            </a:r>
          </a:p>
        </xdr:txBody>
      </xdr:sp>
      <xdr:cxnSp macro="">
        <xdr:nvCxnSpPr>
          <xdr:cNvPr id="4933" name="VBA_Schema_FaseII_Taglio_Zero">
            <a:extLst>
              <a:ext uri="{FF2B5EF4-FFF2-40B4-BE49-F238E27FC236}">
                <a16:creationId xmlns:a16="http://schemas.microsoft.com/office/drawing/2014/main" id="{14B2D3BF-D3E4-F55E-FC2A-FB87D4CC716C}"/>
              </a:ext>
            </a:extLst>
          </xdr:cNvPr>
          <xdr:cNvCxnSpPr/>
        </xdr:nvCxnSpPr>
        <xdr:spPr>
          <a:xfrm>
            <a:off x="4038600" y="4579302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cxnSp macro="">
        <xdr:nvCxnSpPr>
          <xdr:cNvPr id="4934" name="VBA_Schema_FaseII_Taglio_Retta">
            <a:extLst>
              <a:ext uri="{FF2B5EF4-FFF2-40B4-BE49-F238E27FC236}">
                <a16:creationId xmlns:a16="http://schemas.microsoft.com/office/drawing/2014/main" id="{2FC7F83F-35A0-3450-A456-AB1B640A5FC5}"/>
              </a:ext>
            </a:extLst>
          </xdr:cNvPr>
          <xdr:cNvCxnSpPr/>
        </xdr:nvCxnSpPr>
        <xdr:spPr>
          <a:xfrm>
            <a:off x="4038600" y="45539025"/>
            <a:ext cx="2876550" cy="508000"/>
          </a:xfrm>
          <a:prstGeom prst="line">
            <a:avLst/>
          </a:prstGeom>
          <a:ln w="19050">
            <a:solidFill>
              <a:srgbClr val="0096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35" name="VBA_Schema_FaseII_Taglio_Label">
            <a:extLst>
              <a:ext uri="{FF2B5EF4-FFF2-40B4-BE49-F238E27FC236}">
                <a16:creationId xmlns:a16="http://schemas.microsoft.com/office/drawing/2014/main" id="{43607C7E-BB83-A9F6-7EB7-93773DFD9A08}"/>
              </a:ext>
            </a:extLst>
          </xdr:cNvPr>
          <xdr:cNvSpPr txBox="1"/>
        </xdr:nvSpPr>
        <xdr:spPr>
          <a:xfrm>
            <a:off x="3835400" y="4570412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963C"/>
                </a:solidFill>
                <a:latin typeface="Calibri" panose="020F0502020204030204" pitchFamily="34" charset="0"/>
              </a:rPr>
              <a:t>V</a:t>
            </a:r>
          </a:p>
        </xdr:txBody>
      </xdr:sp>
      <xdr:sp macro="" textlink="">
        <xdr:nvSpPr>
          <xdr:cNvPr id="4936" name="VBA_Schema_FaseII_Taglio_Max">
            <a:extLst>
              <a:ext uri="{FF2B5EF4-FFF2-40B4-BE49-F238E27FC236}">
                <a16:creationId xmlns:a16="http://schemas.microsoft.com/office/drawing/2014/main" id="{4EC4FF9D-3445-371F-8FFB-A0DF1ADEF7BF}"/>
              </a:ext>
            </a:extLst>
          </xdr:cNvPr>
          <xdr:cNvSpPr txBox="1"/>
        </xdr:nvSpPr>
        <xdr:spPr>
          <a:xfrm>
            <a:off x="4089400" y="4538662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800" b="1">
                <a:solidFill>
                  <a:srgbClr val="007832"/>
                </a:solidFill>
                <a:latin typeface="Calibri" panose="020F0502020204030204" pitchFamily="34" charset="0"/>
              </a:rPr>
              <a:t>V=13,05 kN</a:t>
            </a:r>
          </a:p>
        </xdr:txBody>
      </xdr:sp>
      <xdr:cxnSp macro="">
        <xdr:nvCxnSpPr>
          <xdr:cNvPr id="4937" name="VBA_Schema_FaseII_Momento_Zero">
            <a:extLst>
              <a:ext uri="{FF2B5EF4-FFF2-40B4-BE49-F238E27FC236}">
                <a16:creationId xmlns:a16="http://schemas.microsoft.com/office/drawing/2014/main" id="{8DC726E4-4841-E442-DDAC-5073F602CF42}"/>
              </a:ext>
            </a:extLst>
          </xdr:cNvPr>
          <xdr:cNvCxnSpPr/>
        </xdr:nvCxnSpPr>
        <xdr:spPr>
          <a:xfrm>
            <a:off x="4038600" y="4617402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sp macro="" textlink="">
        <xdr:nvSpPr>
          <xdr:cNvPr id="4938" name="VBA_Schema_FaseII_Momento_Parabola">
            <a:extLst>
              <a:ext uri="{FF2B5EF4-FFF2-40B4-BE49-F238E27FC236}">
                <a16:creationId xmlns:a16="http://schemas.microsoft.com/office/drawing/2014/main" id="{3A669BCD-71AE-98B0-80A8-2046A755DB7B}"/>
              </a:ext>
            </a:extLst>
          </xdr:cNvPr>
          <xdr:cNvSpPr/>
        </xdr:nvSpPr>
        <xdr:spPr>
          <a:xfrm>
            <a:off x="4038600" y="46174025"/>
            <a:ext cx="2876550" cy="254000"/>
          </a:xfrm>
          <a:custGeom>
            <a:avLst/>
            <a:gdLst>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Lst>
            <a:rect l="l" t="t" r="r" b="b"/>
            <a:pathLst>
              <a:path w="2876550" h="254000">
                <a:moveTo>
                  <a:pt x="0" y="0"/>
                </a:moveTo>
                <a:lnTo>
                  <a:pt x="119856" y="40568"/>
                </a:lnTo>
                <a:cubicBezTo>
                  <a:pt x="159808" y="53503"/>
                  <a:pt x="199761" y="65851"/>
                  <a:pt x="239713" y="77611"/>
                </a:cubicBezTo>
                <a:cubicBezTo>
                  <a:pt x="279665" y="89371"/>
                  <a:pt x="319617" y="100542"/>
                  <a:pt x="359569" y="111125"/>
                </a:cubicBezTo>
                <a:cubicBezTo>
                  <a:pt x="399521" y="121708"/>
                  <a:pt x="439473" y="131704"/>
                  <a:pt x="479425" y="141111"/>
                </a:cubicBezTo>
                <a:cubicBezTo>
                  <a:pt x="519377" y="150518"/>
                  <a:pt x="559329" y="159337"/>
                  <a:pt x="599281" y="167568"/>
                </a:cubicBezTo>
                <a:cubicBezTo>
                  <a:pt x="639233" y="175800"/>
                  <a:pt x="679186" y="183444"/>
                  <a:pt x="719138" y="190500"/>
                </a:cubicBezTo>
                <a:cubicBezTo>
                  <a:pt x="759090" y="197556"/>
                  <a:pt x="799042" y="204023"/>
                  <a:pt x="838994" y="209903"/>
                </a:cubicBezTo>
                <a:cubicBezTo>
                  <a:pt x="878946" y="215783"/>
                  <a:pt x="918898" y="221074"/>
                  <a:pt x="958850" y="225778"/>
                </a:cubicBezTo>
                <a:cubicBezTo>
                  <a:pt x="998802" y="230482"/>
                  <a:pt x="1038754" y="234598"/>
                  <a:pt x="1078706" y="238125"/>
                </a:cubicBezTo>
                <a:cubicBezTo>
                  <a:pt x="1118658" y="241653"/>
                  <a:pt x="1158611" y="244591"/>
                  <a:pt x="1198563" y="246943"/>
                </a:cubicBezTo>
                <a:cubicBezTo>
                  <a:pt x="1238515" y="249295"/>
                  <a:pt x="1278467" y="251060"/>
                  <a:pt x="1318419" y="252236"/>
                </a:cubicBezTo>
                <a:cubicBezTo>
                  <a:pt x="1358371" y="253412"/>
                  <a:pt x="1398323" y="254000"/>
                  <a:pt x="1438275" y="254000"/>
                </a:cubicBezTo>
                <a:cubicBezTo>
                  <a:pt x="1478227" y="254000"/>
                  <a:pt x="1518179" y="253412"/>
                  <a:pt x="1558131" y="252236"/>
                </a:cubicBezTo>
                <a:cubicBezTo>
                  <a:pt x="1598083" y="251060"/>
                  <a:pt x="1638036" y="249295"/>
                  <a:pt x="1677988" y="246943"/>
                </a:cubicBezTo>
                <a:cubicBezTo>
                  <a:pt x="1717940" y="244591"/>
                  <a:pt x="1757892" y="241653"/>
                  <a:pt x="1797844" y="238125"/>
                </a:cubicBezTo>
                <a:cubicBezTo>
                  <a:pt x="1837796" y="234598"/>
                  <a:pt x="1877748" y="230482"/>
                  <a:pt x="1917700" y="225778"/>
                </a:cubicBezTo>
                <a:cubicBezTo>
                  <a:pt x="1957652" y="221074"/>
                  <a:pt x="1997604" y="215783"/>
                  <a:pt x="2037556" y="209903"/>
                </a:cubicBezTo>
                <a:cubicBezTo>
                  <a:pt x="2077508" y="204023"/>
                  <a:pt x="2117461" y="197556"/>
                  <a:pt x="2157413" y="190500"/>
                </a:cubicBezTo>
                <a:cubicBezTo>
                  <a:pt x="2197365" y="183444"/>
                  <a:pt x="2237317" y="175800"/>
                  <a:pt x="2277269" y="167568"/>
                </a:cubicBezTo>
                <a:cubicBezTo>
                  <a:pt x="2317221" y="159337"/>
                  <a:pt x="2357173" y="150518"/>
                  <a:pt x="2397125" y="141111"/>
                </a:cubicBezTo>
                <a:cubicBezTo>
                  <a:pt x="2437077" y="131704"/>
                  <a:pt x="2477029" y="121708"/>
                  <a:pt x="2516981" y="111125"/>
                </a:cubicBezTo>
                <a:cubicBezTo>
                  <a:pt x="2556933" y="100542"/>
                  <a:pt x="2596886" y="89371"/>
                  <a:pt x="2636838" y="77611"/>
                </a:cubicBezTo>
                <a:cubicBezTo>
                  <a:pt x="2676790" y="65851"/>
                  <a:pt x="2716742" y="53503"/>
                  <a:pt x="2756694" y="40568"/>
                </a:cubicBezTo>
                <a:cubicBezTo>
                  <a:pt x="2796646" y="27633"/>
                  <a:pt x="2851580" y="8452"/>
                  <a:pt x="2876550" y="0"/>
                </a:cubicBezTo>
              </a:path>
            </a:pathLst>
          </a:custGeom>
          <a:ln w="19050">
            <a:solidFill>
              <a:srgbClr val="D21E1E"/>
            </a:solidFill>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it-IT" sz="1100"/>
          </a:p>
        </xdr:txBody>
      </xdr:sp>
      <xdr:sp macro="" textlink="">
        <xdr:nvSpPr>
          <xdr:cNvPr id="4939" name="VBA_Schema_FaseII_Momento_Label">
            <a:extLst>
              <a:ext uri="{FF2B5EF4-FFF2-40B4-BE49-F238E27FC236}">
                <a16:creationId xmlns:a16="http://schemas.microsoft.com/office/drawing/2014/main" id="{242FAFB8-FEE6-4FAA-A46E-143D04D42BF2}"/>
              </a:ext>
            </a:extLst>
          </xdr:cNvPr>
          <xdr:cNvSpPr txBox="1"/>
        </xdr:nvSpPr>
        <xdr:spPr>
          <a:xfrm>
            <a:off x="3835400" y="4621212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D21E1E"/>
                </a:solidFill>
                <a:latin typeface="Calibri" panose="020F0502020204030204" pitchFamily="34" charset="0"/>
              </a:rPr>
              <a:t>M</a:t>
            </a:r>
          </a:p>
        </xdr:txBody>
      </xdr:sp>
      <xdr:sp macro="" textlink="">
        <xdr:nvSpPr>
          <xdr:cNvPr id="4940" name="VBA_Schema_FaseII_Momento_Max">
            <a:extLst>
              <a:ext uri="{FF2B5EF4-FFF2-40B4-BE49-F238E27FC236}">
                <a16:creationId xmlns:a16="http://schemas.microsoft.com/office/drawing/2014/main" id="{BCD4A967-8B9E-F8A8-71A5-F8A65D9C52C4}"/>
              </a:ext>
            </a:extLst>
          </xdr:cNvPr>
          <xdr:cNvSpPr txBox="1"/>
        </xdr:nvSpPr>
        <xdr:spPr>
          <a:xfrm>
            <a:off x="4905375" y="4645342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B41414"/>
                </a:solidFill>
                <a:latin typeface="Calibri" panose="020F0502020204030204" pitchFamily="34" charset="0"/>
              </a:rPr>
              <a:t>M=19,58 kNm</a:t>
            </a:r>
          </a:p>
        </xdr:txBody>
      </xdr:sp>
    </xdr:grpSp>
    <xdr:clientData/>
  </xdr:twoCellAnchor>
  <xdr:twoCellAnchor>
    <xdr:from>
      <xdr:col>7</xdr:col>
      <xdr:colOff>0</xdr:colOff>
      <xdr:row>246</xdr:row>
      <xdr:rowOff>525469</xdr:rowOff>
    </xdr:from>
    <xdr:to>
      <xdr:col>12</xdr:col>
      <xdr:colOff>0</xdr:colOff>
      <xdr:row>246</xdr:row>
      <xdr:rowOff>1446207</xdr:rowOff>
    </xdr:to>
    <xdr:grpSp>
      <xdr:nvGrpSpPr>
        <xdr:cNvPr id="4956" name="VBA_Baricentro_Support_g_Group">
          <a:extLst>
            <a:ext uri="{FF2B5EF4-FFF2-40B4-BE49-F238E27FC236}">
              <a16:creationId xmlns:a16="http://schemas.microsoft.com/office/drawing/2014/main" id="{DF31490C-83EA-B6A9-80FC-09B0929A73CB}"/>
            </a:ext>
          </a:extLst>
        </xdr:cNvPr>
        <xdr:cNvGrpSpPr>
          <a:grpSpLocks/>
        </xdr:cNvGrpSpPr>
      </xdr:nvGrpSpPr>
      <xdr:grpSpPr>
        <a:xfrm>
          <a:off x="3810000" y="64142944"/>
          <a:ext cx="3333750" cy="920738"/>
          <a:chOff x="3060700" y="63807975"/>
          <a:chExt cx="4379913" cy="1209675"/>
        </a:xfrm>
      </xdr:grpSpPr>
      <xdr:sp macro="" textlink="">
        <xdr:nvSpPr>
          <xdr:cNvPr id="4942" name="VBA_Baricentro_Support_g_Elemento1">
            <a:extLst>
              <a:ext uri="{FF2B5EF4-FFF2-40B4-BE49-F238E27FC236}">
                <a16:creationId xmlns:a16="http://schemas.microsoft.com/office/drawing/2014/main" id="{CB006BF4-DC39-2D7A-3DCA-9E559A8BCE8B}"/>
              </a:ext>
            </a:extLst>
          </xdr:cNvPr>
          <xdr:cNvSpPr/>
        </xdr:nvSpPr>
        <xdr:spPr>
          <a:xfrm>
            <a:off x="4191000" y="63807975"/>
            <a:ext cx="1814513" cy="241933"/>
          </a:xfrm>
          <a:prstGeom prst="rect">
            <a:avLst/>
          </a:prstGeom>
          <a:solidFill>
            <a:srgbClr val="DEB887"/>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4943" name="VBA_Baricentro_Support_g_Elemento2">
            <a:extLst>
              <a:ext uri="{FF2B5EF4-FFF2-40B4-BE49-F238E27FC236}">
                <a16:creationId xmlns:a16="http://schemas.microsoft.com/office/drawing/2014/main" id="{CE76B6EF-1D92-3F79-F890-F88A1C620C52}"/>
              </a:ext>
            </a:extLst>
          </xdr:cNvPr>
          <xdr:cNvSpPr/>
        </xdr:nvSpPr>
        <xdr:spPr>
          <a:xfrm>
            <a:off x="4856321" y="64049908"/>
            <a:ext cx="483870" cy="967742"/>
          </a:xfrm>
          <a:prstGeom prst="rect">
            <a:avLst/>
          </a:prstGeom>
          <a:solidFill>
            <a:srgbClr val="B88D5B"/>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4944" name="VBA_Baricentro_Support_g_Linea_G1">
            <a:extLst>
              <a:ext uri="{FF2B5EF4-FFF2-40B4-BE49-F238E27FC236}">
                <a16:creationId xmlns:a16="http://schemas.microsoft.com/office/drawing/2014/main" id="{08E6CA67-825B-CB57-1E92-CDE8414D95DF}"/>
              </a:ext>
            </a:extLst>
          </xdr:cNvPr>
          <xdr:cNvCxnSpPr/>
        </xdr:nvCxnSpPr>
        <xdr:spPr>
          <a:xfrm>
            <a:off x="4191000" y="63928941"/>
            <a:ext cx="1814513"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45" name="VBA_Baricentro_Support_g_Label_G1">
            <a:extLst>
              <a:ext uri="{FF2B5EF4-FFF2-40B4-BE49-F238E27FC236}">
                <a16:creationId xmlns:a16="http://schemas.microsoft.com/office/drawing/2014/main" id="{8AF9515F-8830-6D46-C151-B70C3A14A0ED}"/>
              </a:ext>
            </a:extLst>
          </xdr:cNvPr>
          <xdr:cNvSpPr txBox="1"/>
        </xdr:nvSpPr>
        <xdr:spPr>
          <a:xfrm>
            <a:off x="6043613" y="63840041"/>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G₁</a:t>
            </a:r>
          </a:p>
        </xdr:txBody>
      </xdr:sp>
      <xdr:cxnSp macro="">
        <xdr:nvCxnSpPr>
          <xdr:cNvPr id="4946" name="VBA_Baricentro_Support_g_Linea_G2">
            <a:extLst>
              <a:ext uri="{FF2B5EF4-FFF2-40B4-BE49-F238E27FC236}">
                <a16:creationId xmlns:a16="http://schemas.microsoft.com/office/drawing/2014/main" id="{8210FDEA-29DD-B9F1-1B48-F6778CDF2CE1}"/>
              </a:ext>
            </a:extLst>
          </xdr:cNvPr>
          <xdr:cNvCxnSpPr/>
        </xdr:nvCxnSpPr>
        <xdr:spPr>
          <a:xfrm>
            <a:off x="4856321" y="64533779"/>
            <a:ext cx="483870"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47" name="VBA_Baricentro_Support_g_Label_G2">
            <a:extLst>
              <a:ext uri="{FF2B5EF4-FFF2-40B4-BE49-F238E27FC236}">
                <a16:creationId xmlns:a16="http://schemas.microsoft.com/office/drawing/2014/main" id="{6491464C-9466-6F7A-A2CC-BD463F30AF06}"/>
              </a:ext>
            </a:extLst>
          </xdr:cNvPr>
          <xdr:cNvSpPr txBox="1"/>
        </xdr:nvSpPr>
        <xdr:spPr>
          <a:xfrm>
            <a:off x="5378291" y="64444879"/>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G₂</a:t>
            </a:r>
          </a:p>
        </xdr:txBody>
      </xdr:sp>
      <xdr:cxnSp macro="">
        <xdr:nvCxnSpPr>
          <xdr:cNvPr id="4948" name="VBA_Baricentro_Support_g_Linea_G">
            <a:extLst>
              <a:ext uri="{FF2B5EF4-FFF2-40B4-BE49-F238E27FC236}">
                <a16:creationId xmlns:a16="http://schemas.microsoft.com/office/drawing/2014/main" id="{72CEC185-623E-097D-4AFD-27A1E40BB2C6}"/>
              </a:ext>
            </a:extLst>
          </xdr:cNvPr>
          <xdr:cNvCxnSpPr/>
        </xdr:nvCxnSpPr>
        <xdr:spPr>
          <a:xfrm>
            <a:off x="4191000" y="64434008"/>
            <a:ext cx="1814513"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49" name="VBA_Baricentro_Support_g_Label_G">
            <a:extLst>
              <a:ext uri="{FF2B5EF4-FFF2-40B4-BE49-F238E27FC236}">
                <a16:creationId xmlns:a16="http://schemas.microsoft.com/office/drawing/2014/main" id="{68820695-A646-3EBD-F04A-7126BE906871}"/>
              </a:ext>
            </a:extLst>
          </xdr:cNvPr>
          <xdr:cNvSpPr txBox="1"/>
        </xdr:nvSpPr>
        <xdr:spPr>
          <a:xfrm>
            <a:off x="6043613" y="64345108"/>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cxnSp macro="">
        <xdr:nvCxnSpPr>
          <xdr:cNvPr id="4950" name="VBA_Baricentro_Support_g_QLine_8">
            <a:extLst>
              <a:ext uri="{FF2B5EF4-FFF2-40B4-BE49-F238E27FC236}">
                <a16:creationId xmlns:a16="http://schemas.microsoft.com/office/drawing/2014/main" id="{5F148313-09A0-38CE-42C5-83350D18AF36}"/>
              </a:ext>
            </a:extLst>
          </xdr:cNvPr>
          <xdr:cNvCxnSpPr/>
        </xdr:nvCxnSpPr>
        <xdr:spPr>
          <a:xfrm>
            <a:off x="6513513" y="63928941"/>
            <a:ext cx="0" cy="505067"/>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51" name="VBA_Baricentro_Support_g_QText_9">
            <a:extLst>
              <a:ext uri="{FF2B5EF4-FFF2-40B4-BE49-F238E27FC236}">
                <a16:creationId xmlns:a16="http://schemas.microsoft.com/office/drawing/2014/main" id="{B78EC215-538D-98EB-D2B2-6B8A03CCBEB0}"/>
              </a:ext>
            </a:extLst>
          </xdr:cNvPr>
          <xdr:cNvSpPr txBox="1"/>
        </xdr:nvSpPr>
        <xdr:spPr>
          <a:xfrm>
            <a:off x="6551613" y="64105278"/>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a₁=167mm</a:t>
            </a:r>
          </a:p>
        </xdr:txBody>
      </xdr:sp>
      <xdr:cxnSp macro="">
        <xdr:nvCxnSpPr>
          <xdr:cNvPr id="4952" name="VBA_Baricentro_Support_g_QLine_10">
            <a:extLst>
              <a:ext uri="{FF2B5EF4-FFF2-40B4-BE49-F238E27FC236}">
                <a16:creationId xmlns:a16="http://schemas.microsoft.com/office/drawing/2014/main" id="{8655585F-F93E-BA24-A81B-0CD42F4710A0}"/>
              </a:ext>
            </a:extLst>
          </xdr:cNvPr>
          <xdr:cNvCxnSpPr/>
        </xdr:nvCxnSpPr>
        <xdr:spPr>
          <a:xfrm>
            <a:off x="6513513" y="64434008"/>
            <a:ext cx="0" cy="99771"/>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53" name="VBA_Baricentro_Support_g_QText_11">
            <a:extLst>
              <a:ext uri="{FF2B5EF4-FFF2-40B4-BE49-F238E27FC236}">
                <a16:creationId xmlns:a16="http://schemas.microsoft.com/office/drawing/2014/main" id="{4F0E3685-BE01-8B23-D5C1-FF0C450F5A90}"/>
              </a:ext>
            </a:extLst>
          </xdr:cNvPr>
          <xdr:cNvSpPr txBox="1"/>
        </xdr:nvSpPr>
        <xdr:spPr>
          <a:xfrm>
            <a:off x="6551613" y="64407697"/>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a₂=33mm</a:t>
            </a:r>
          </a:p>
        </xdr:txBody>
      </xdr:sp>
      <xdr:cxnSp macro="">
        <xdr:nvCxnSpPr>
          <xdr:cNvPr id="4954" name="VBA_Baricentro_Support_g_QLine_12">
            <a:extLst>
              <a:ext uri="{FF2B5EF4-FFF2-40B4-BE49-F238E27FC236}">
                <a16:creationId xmlns:a16="http://schemas.microsoft.com/office/drawing/2014/main" id="{4F68D70E-1C79-3021-B128-CDEE80EA801C}"/>
              </a:ext>
            </a:extLst>
          </xdr:cNvPr>
          <xdr:cNvCxnSpPr/>
        </xdr:nvCxnSpPr>
        <xdr:spPr>
          <a:xfrm>
            <a:off x="3987800" y="63928941"/>
            <a:ext cx="0" cy="604838"/>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55" name="VBA_Baricentro_Support_g_QText_13">
            <a:extLst>
              <a:ext uri="{FF2B5EF4-FFF2-40B4-BE49-F238E27FC236}">
                <a16:creationId xmlns:a16="http://schemas.microsoft.com/office/drawing/2014/main" id="{DC9E70C9-29C2-9EF3-0E66-F94A085486CF}"/>
              </a:ext>
            </a:extLst>
          </xdr:cNvPr>
          <xdr:cNvSpPr txBox="1"/>
        </xdr:nvSpPr>
        <xdr:spPr>
          <a:xfrm>
            <a:off x="3060700" y="64155160"/>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r"/>
            <a:r>
              <a:rPr lang="it-IT" sz="750" b="1">
                <a:solidFill>
                  <a:srgbClr val="282828"/>
                </a:solidFill>
                <a:latin typeface="Calibri" panose="020F0502020204030204" pitchFamily="34" charset="0"/>
              </a:rPr>
              <a:t>a=200mm</a:t>
            </a:r>
          </a:p>
        </xdr:txBody>
      </xdr:sp>
    </xdr:grpSp>
    <xdr:clientData/>
  </xdr:twoCellAnchor>
  <xdr:twoCellAnchor>
    <xdr:from>
      <xdr:col>1</xdr:col>
      <xdr:colOff>0</xdr:colOff>
      <xdr:row>246</xdr:row>
      <xdr:rowOff>444655</xdr:rowOff>
    </xdr:from>
    <xdr:to>
      <xdr:col>6</xdr:col>
      <xdr:colOff>0</xdr:colOff>
      <xdr:row>246</xdr:row>
      <xdr:rowOff>1527023</xdr:rowOff>
    </xdr:to>
    <xdr:grpSp>
      <xdr:nvGrpSpPr>
        <xdr:cNvPr id="4975" name="VBA_Baricentro_Midspan_g_Group">
          <a:extLst>
            <a:ext uri="{FF2B5EF4-FFF2-40B4-BE49-F238E27FC236}">
              <a16:creationId xmlns:a16="http://schemas.microsoft.com/office/drawing/2014/main" id="{1A5A470D-0240-4B56-FAE7-11CF726391D5}"/>
            </a:ext>
          </a:extLst>
        </xdr:cNvPr>
        <xdr:cNvGrpSpPr>
          <a:grpSpLocks/>
        </xdr:cNvGrpSpPr>
      </xdr:nvGrpSpPr>
      <xdr:grpSpPr>
        <a:xfrm>
          <a:off x="95250" y="64062130"/>
          <a:ext cx="3333750" cy="1082368"/>
          <a:chOff x="0" y="63807975"/>
          <a:chExt cx="3725863" cy="1209675"/>
        </a:xfrm>
      </xdr:grpSpPr>
      <xdr:sp macro="" textlink="">
        <xdr:nvSpPr>
          <xdr:cNvPr id="4957" name="VBA_Baricentro_Midspan_g_Elemento1">
            <a:extLst>
              <a:ext uri="{FF2B5EF4-FFF2-40B4-BE49-F238E27FC236}">
                <a16:creationId xmlns:a16="http://schemas.microsoft.com/office/drawing/2014/main" id="{7517D02D-F377-EE44-B8EB-ACAD668A3BDE}"/>
              </a:ext>
            </a:extLst>
          </xdr:cNvPr>
          <xdr:cNvSpPr/>
        </xdr:nvSpPr>
        <xdr:spPr>
          <a:xfrm>
            <a:off x="476250" y="63807975"/>
            <a:ext cx="1814513" cy="241933"/>
          </a:xfrm>
          <a:prstGeom prst="rect">
            <a:avLst/>
          </a:prstGeom>
          <a:solidFill>
            <a:srgbClr val="DEB887"/>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4958" name="VBA_Baricentro_Midspan_g_Elemento2">
            <a:extLst>
              <a:ext uri="{FF2B5EF4-FFF2-40B4-BE49-F238E27FC236}">
                <a16:creationId xmlns:a16="http://schemas.microsoft.com/office/drawing/2014/main" id="{3C452098-E5A0-2FB0-513C-36DA1D6B2D4A}"/>
              </a:ext>
            </a:extLst>
          </xdr:cNvPr>
          <xdr:cNvSpPr/>
        </xdr:nvSpPr>
        <xdr:spPr>
          <a:xfrm>
            <a:off x="1141571" y="64049908"/>
            <a:ext cx="483870" cy="967742"/>
          </a:xfrm>
          <a:prstGeom prst="rect">
            <a:avLst/>
          </a:prstGeom>
          <a:solidFill>
            <a:srgbClr val="B88D5B"/>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4959" name="VBA_Baricentro_Midspan_g_Linea_G1">
            <a:extLst>
              <a:ext uri="{FF2B5EF4-FFF2-40B4-BE49-F238E27FC236}">
                <a16:creationId xmlns:a16="http://schemas.microsoft.com/office/drawing/2014/main" id="{002DBC05-4B93-5C3A-6684-0CA8870D4C19}"/>
              </a:ext>
            </a:extLst>
          </xdr:cNvPr>
          <xdr:cNvCxnSpPr/>
        </xdr:nvCxnSpPr>
        <xdr:spPr>
          <a:xfrm>
            <a:off x="476250" y="63928941"/>
            <a:ext cx="1814513"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60" name="VBA_Baricentro_Midspan_g_Label_G1">
            <a:extLst>
              <a:ext uri="{FF2B5EF4-FFF2-40B4-BE49-F238E27FC236}">
                <a16:creationId xmlns:a16="http://schemas.microsoft.com/office/drawing/2014/main" id="{6E46AB42-0F64-313A-3B25-AF9CBC82A2B5}"/>
              </a:ext>
            </a:extLst>
          </xdr:cNvPr>
          <xdr:cNvSpPr txBox="1"/>
        </xdr:nvSpPr>
        <xdr:spPr>
          <a:xfrm>
            <a:off x="2328863" y="63840041"/>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G₁</a:t>
            </a:r>
          </a:p>
        </xdr:txBody>
      </xdr:sp>
      <xdr:cxnSp macro="">
        <xdr:nvCxnSpPr>
          <xdr:cNvPr id="4961" name="VBA_Baricentro_Midspan_g_Linea_G2">
            <a:extLst>
              <a:ext uri="{FF2B5EF4-FFF2-40B4-BE49-F238E27FC236}">
                <a16:creationId xmlns:a16="http://schemas.microsoft.com/office/drawing/2014/main" id="{C846BF93-C924-D203-7B2F-14D4DA4936B9}"/>
              </a:ext>
            </a:extLst>
          </xdr:cNvPr>
          <xdr:cNvCxnSpPr/>
        </xdr:nvCxnSpPr>
        <xdr:spPr>
          <a:xfrm>
            <a:off x="1141571" y="64533779"/>
            <a:ext cx="483870"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62" name="VBA_Baricentro_Midspan_g_Label_G2">
            <a:extLst>
              <a:ext uri="{FF2B5EF4-FFF2-40B4-BE49-F238E27FC236}">
                <a16:creationId xmlns:a16="http://schemas.microsoft.com/office/drawing/2014/main" id="{9ABF921F-2B48-DCAC-5F8C-88DA69D627AA}"/>
              </a:ext>
            </a:extLst>
          </xdr:cNvPr>
          <xdr:cNvSpPr txBox="1"/>
        </xdr:nvSpPr>
        <xdr:spPr>
          <a:xfrm>
            <a:off x="1663541" y="64444879"/>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G₂</a:t>
            </a:r>
          </a:p>
        </xdr:txBody>
      </xdr:sp>
      <xdr:cxnSp macro="">
        <xdr:nvCxnSpPr>
          <xdr:cNvPr id="4963" name="VBA_Baricentro_Midspan_g_Linea_G">
            <a:extLst>
              <a:ext uri="{FF2B5EF4-FFF2-40B4-BE49-F238E27FC236}">
                <a16:creationId xmlns:a16="http://schemas.microsoft.com/office/drawing/2014/main" id="{17EE8484-0D4F-4CC1-289D-6B867EED096E}"/>
              </a:ext>
            </a:extLst>
          </xdr:cNvPr>
          <xdr:cNvCxnSpPr/>
        </xdr:nvCxnSpPr>
        <xdr:spPr>
          <a:xfrm>
            <a:off x="476250" y="64372703"/>
            <a:ext cx="1814513"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68" name="VBA_Baricentro_Midspan_g_Label_G">
            <a:extLst>
              <a:ext uri="{FF2B5EF4-FFF2-40B4-BE49-F238E27FC236}">
                <a16:creationId xmlns:a16="http://schemas.microsoft.com/office/drawing/2014/main" id="{4627A583-E773-C989-E701-2B260FA73F20}"/>
              </a:ext>
            </a:extLst>
          </xdr:cNvPr>
          <xdr:cNvSpPr txBox="1"/>
        </xdr:nvSpPr>
        <xdr:spPr>
          <a:xfrm>
            <a:off x="2328863" y="64283803"/>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cxnSp macro="">
        <xdr:nvCxnSpPr>
          <xdr:cNvPr id="4969" name="VBA_Baricentro_Midspan_g_QLine_8">
            <a:extLst>
              <a:ext uri="{FF2B5EF4-FFF2-40B4-BE49-F238E27FC236}">
                <a16:creationId xmlns:a16="http://schemas.microsoft.com/office/drawing/2014/main" id="{C07E7589-EDB5-E4EB-335E-DB5CF7DF3021}"/>
              </a:ext>
            </a:extLst>
          </xdr:cNvPr>
          <xdr:cNvCxnSpPr/>
        </xdr:nvCxnSpPr>
        <xdr:spPr>
          <a:xfrm>
            <a:off x="2798763" y="63928941"/>
            <a:ext cx="0" cy="443762"/>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70" name="VBA_Baricentro_Midspan_g_QText_9">
            <a:extLst>
              <a:ext uri="{FF2B5EF4-FFF2-40B4-BE49-F238E27FC236}">
                <a16:creationId xmlns:a16="http://schemas.microsoft.com/office/drawing/2014/main" id="{EB1F2C8B-30C6-3017-393E-0BA568AF9F03}"/>
              </a:ext>
            </a:extLst>
          </xdr:cNvPr>
          <xdr:cNvSpPr txBox="1"/>
        </xdr:nvSpPr>
        <xdr:spPr>
          <a:xfrm>
            <a:off x="2836863" y="64074619"/>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a₁=147mm</a:t>
            </a:r>
          </a:p>
        </xdr:txBody>
      </xdr:sp>
      <xdr:cxnSp macro="">
        <xdr:nvCxnSpPr>
          <xdr:cNvPr id="4971" name="VBA_Baricentro_Midspan_g_QLine_10">
            <a:extLst>
              <a:ext uri="{FF2B5EF4-FFF2-40B4-BE49-F238E27FC236}">
                <a16:creationId xmlns:a16="http://schemas.microsoft.com/office/drawing/2014/main" id="{AD82800B-ED06-346C-AA79-DA8DAEF53C82}"/>
              </a:ext>
            </a:extLst>
          </xdr:cNvPr>
          <xdr:cNvCxnSpPr/>
        </xdr:nvCxnSpPr>
        <xdr:spPr>
          <a:xfrm>
            <a:off x="2798763" y="64372703"/>
            <a:ext cx="0" cy="161076"/>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72" name="VBA_Baricentro_Midspan_g_QText_11">
            <a:extLst>
              <a:ext uri="{FF2B5EF4-FFF2-40B4-BE49-F238E27FC236}">
                <a16:creationId xmlns:a16="http://schemas.microsoft.com/office/drawing/2014/main" id="{4E8B9F4A-57B4-A1FD-8D95-F8F1BCE01FEF}"/>
              </a:ext>
            </a:extLst>
          </xdr:cNvPr>
          <xdr:cNvSpPr txBox="1"/>
        </xdr:nvSpPr>
        <xdr:spPr>
          <a:xfrm>
            <a:off x="2836863" y="64377038"/>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a₂=53mm</a:t>
            </a:r>
          </a:p>
        </xdr:txBody>
      </xdr:sp>
      <xdr:cxnSp macro="">
        <xdr:nvCxnSpPr>
          <xdr:cNvPr id="4973" name="VBA_Baricentro_Midspan_g_QLine_12">
            <a:extLst>
              <a:ext uri="{FF2B5EF4-FFF2-40B4-BE49-F238E27FC236}">
                <a16:creationId xmlns:a16="http://schemas.microsoft.com/office/drawing/2014/main" id="{E716575A-BE1A-3237-29BE-3D083B3F6F27}"/>
              </a:ext>
            </a:extLst>
          </xdr:cNvPr>
          <xdr:cNvCxnSpPr/>
        </xdr:nvCxnSpPr>
        <xdr:spPr>
          <a:xfrm>
            <a:off x="273050" y="63928941"/>
            <a:ext cx="0" cy="604838"/>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74" name="VBA_Baricentro_Midspan_g_QText_13">
            <a:extLst>
              <a:ext uri="{FF2B5EF4-FFF2-40B4-BE49-F238E27FC236}">
                <a16:creationId xmlns:a16="http://schemas.microsoft.com/office/drawing/2014/main" id="{BB2BACE6-0865-53AE-920F-0D0476F8A010}"/>
              </a:ext>
            </a:extLst>
          </xdr:cNvPr>
          <xdr:cNvSpPr txBox="1"/>
        </xdr:nvSpPr>
        <xdr:spPr>
          <a:xfrm>
            <a:off x="0" y="64155160"/>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r"/>
            <a:r>
              <a:rPr lang="it-IT" sz="750" b="1">
                <a:solidFill>
                  <a:srgbClr val="282828"/>
                </a:solidFill>
                <a:latin typeface="Calibri" panose="020F0502020204030204" pitchFamily="34" charset="0"/>
              </a:rPr>
              <a:t>a=200mm</a:t>
            </a:r>
          </a:p>
        </xdr:txBody>
      </xdr:sp>
    </xdr:grpSp>
    <xdr:clientData/>
  </xdr:twoCellAnchor>
  <xdr:twoCellAnchor>
    <xdr:from>
      <xdr:col>7</xdr:col>
      <xdr:colOff>0</xdr:colOff>
      <xdr:row>291</xdr:row>
      <xdr:rowOff>525469</xdr:rowOff>
    </xdr:from>
    <xdr:to>
      <xdr:col>12</xdr:col>
      <xdr:colOff>0</xdr:colOff>
      <xdr:row>291</xdr:row>
      <xdr:rowOff>1446207</xdr:rowOff>
    </xdr:to>
    <xdr:grpSp>
      <xdr:nvGrpSpPr>
        <xdr:cNvPr id="4990" name="VBA_Baricentro_Support_g+q_Group">
          <a:extLst>
            <a:ext uri="{FF2B5EF4-FFF2-40B4-BE49-F238E27FC236}">
              <a16:creationId xmlns:a16="http://schemas.microsoft.com/office/drawing/2014/main" id="{A57F1818-B400-4B64-2ACD-201F95993F19}"/>
            </a:ext>
          </a:extLst>
        </xdr:cNvPr>
        <xdr:cNvGrpSpPr>
          <a:grpSpLocks/>
        </xdr:cNvGrpSpPr>
      </xdr:nvGrpSpPr>
      <xdr:grpSpPr>
        <a:xfrm>
          <a:off x="3810000" y="75639619"/>
          <a:ext cx="3333750" cy="920738"/>
          <a:chOff x="3060700" y="75304650"/>
          <a:chExt cx="4379913" cy="1209675"/>
        </a:xfrm>
      </xdr:grpSpPr>
      <xdr:sp macro="" textlink="">
        <xdr:nvSpPr>
          <xdr:cNvPr id="4976" name="VBA_Baricentro_Support_g+q_Elemento1">
            <a:extLst>
              <a:ext uri="{FF2B5EF4-FFF2-40B4-BE49-F238E27FC236}">
                <a16:creationId xmlns:a16="http://schemas.microsoft.com/office/drawing/2014/main" id="{80BB60D4-64CA-E266-91A7-D334EE12DF47}"/>
              </a:ext>
            </a:extLst>
          </xdr:cNvPr>
          <xdr:cNvSpPr/>
        </xdr:nvSpPr>
        <xdr:spPr>
          <a:xfrm>
            <a:off x="4191000" y="75304650"/>
            <a:ext cx="1814513" cy="241933"/>
          </a:xfrm>
          <a:prstGeom prst="rect">
            <a:avLst/>
          </a:prstGeom>
          <a:solidFill>
            <a:srgbClr val="DEB887"/>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4977" name="VBA_Baricentro_Support_g+q_Elemento2">
            <a:extLst>
              <a:ext uri="{FF2B5EF4-FFF2-40B4-BE49-F238E27FC236}">
                <a16:creationId xmlns:a16="http://schemas.microsoft.com/office/drawing/2014/main" id="{C096FB6D-A53B-199D-BB5F-D4DBC55B2A1F}"/>
              </a:ext>
            </a:extLst>
          </xdr:cNvPr>
          <xdr:cNvSpPr/>
        </xdr:nvSpPr>
        <xdr:spPr>
          <a:xfrm>
            <a:off x="4856321" y="75546583"/>
            <a:ext cx="483870" cy="967742"/>
          </a:xfrm>
          <a:prstGeom prst="rect">
            <a:avLst/>
          </a:prstGeom>
          <a:solidFill>
            <a:srgbClr val="B88D5B"/>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4978" name="VBA_Baricentro_Support_g+q_Linea_G1">
            <a:extLst>
              <a:ext uri="{FF2B5EF4-FFF2-40B4-BE49-F238E27FC236}">
                <a16:creationId xmlns:a16="http://schemas.microsoft.com/office/drawing/2014/main" id="{C21B1C7B-5CBE-2F21-14E2-C4FB3207FE72}"/>
              </a:ext>
            </a:extLst>
          </xdr:cNvPr>
          <xdr:cNvCxnSpPr/>
        </xdr:nvCxnSpPr>
        <xdr:spPr>
          <a:xfrm>
            <a:off x="4191000" y="75425616"/>
            <a:ext cx="1814513"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79" name="VBA_Baricentro_Support_g+q_Label_G1">
            <a:extLst>
              <a:ext uri="{FF2B5EF4-FFF2-40B4-BE49-F238E27FC236}">
                <a16:creationId xmlns:a16="http://schemas.microsoft.com/office/drawing/2014/main" id="{B52A7ECF-0D3D-66AD-B7ED-E94E876F6709}"/>
              </a:ext>
            </a:extLst>
          </xdr:cNvPr>
          <xdr:cNvSpPr txBox="1"/>
        </xdr:nvSpPr>
        <xdr:spPr>
          <a:xfrm>
            <a:off x="6043613" y="75336716"/>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G₁</a:t>
            </a:r>
          </a:p>
        </xdr:txBody>
      </xdr:sp>
      <xdr:cxnSp macro="">
        <xdr:nvCxnSpPr>
          <xdr:cNvPr id="4980" name="VBA_Baricentro_Support_g+q_Linea_G2">
            <a:extLst>
              <a:ext uri="{FF2B5EF4-FFF2-40B4-BE49-F238E27FC236}">
                <a16:creationId xmlns:a16="http://schemas.microsoft.com/office/drawing/2014/main" id="{52396251-362A-C3FD-9850-A3F6E6EE284E}"/>
              </a:ext>
            </a:extLst>
          </xdr:cNvPr>
          <xdr:cNvCxnSpPr/>
        </xdr:nvCxnSpPr>
        <xdr:spPr>
          <a:xfrm>
            <a:off x="4856321" y="76030454"/>
            <a:ext cx="483870"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81" name="VBA_Baricentro_Support_g+q_Label_G2">
            <a:extLst>
              <a:ext uri="{FF2B5EF4-FFF2-40B4-BE49-F238E27FC236}">
                <a16:creationId xmlns:a16="http://schemas.microsoft.com/office/drawing/2014/main" id="{32B526A4-9F91-6FBA-A020-C1FCA337F90A}"/>
              </a:ext>
            </a:extLst>
          </xdr:cNvPr>
          <xdr:cNvSpPr txBox="1"/>
        </xdr:nvSpPr>
        <xdr:spPr>
          <a:xfrm>
            <a:off x="5378291" y="75941554"/>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G₂</a:t>
            </a:r>
          </a:p>
        </xdr:txBody>
      </xdr:sp>
      <xdr:cxnSp macro="">
        <xdr:nvCxnSpPr>
          <xdr:cNvPr id="4982" name="VBA_Baricentro_Support_g+q_Linea_G">
            <a:extLst>
              <a:ext uri="{FF2B5EF4-FFF2-40B4-BE49-F238E27FC236}">
                <a16:creationId xmlns:a16="http://schemas.microsoft.com/office/drawing/2014/main" id="{068DD9A4-D1DA-F357-4443-AE501F5E54D3}"/>
              </a:ext>
            </a:extLst>
          </xdr:cNvPr>
          <xdr:cNvCxnSpPr/>
        </xdr:nvCxnSpPr>
        <xdr:spPr>
          <a:xfrm>
            <a:off x="4191000" y="75930683"/>
            <a:ext cx="1814513"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4983" name="VBA_Baricentro_Support_g+q_Label_G">
            <a:extLst>
              <a:ext uri="{FF2B5EF4-FFF2-40B4-BE49-F238E27FC236}">
                <a16:creationId xmlns:a16="http://schemas.microsoft.com/office/drawing/2014/main" id="{844A2438-632B-6CC4-0776-D6F624076C1C}"/>
              </a:ext>
            </a:extLst>
          </xdr:cNvPr>
          <xdr:cNvSpPr txBox="1"/>
        </xdr:nvSpPr>
        <xdr:spPr>
          <a:xfrm>
            <a:off x="6043613" y="75841783"/>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cxnSp macro="">
        <xdr:nvCxnSpPr>
          <xdr:cNvPr id="4984" name="VBA_Baricentro_Support_g+q_QLine_8">
            <a:extLst>
              <a:ext uri="{FF2B5EF4-FFF2-40B4-BE49-F238E27FC236}">
                <a16:creationId xmlns:a16="http://schemas.microsoft.com/office/drawing/2014/main" id="{0F3EE0CE-1CBF-BB3F-F8A6-0F38A5C86B51}"/>
              </a:ext>
            </a:extLst>
          </xdr:cNvPr>
          <xdr:cNvCxnSpPr/>
        </xdr:nvCxnSpPr>
        <xdr:spPr>
          <a:xfrm>
            <a:off x="6513513" y="75425616"/>
            <a:ext cx="0" cy="505067"/>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85" name="VBA_Baricentro_Support_g+q_QText_9">
            <a:extLst>
              <a:ext uri="{FF2B5EF4-FFF2-40B4-BE49-F238E27FC236}">
                <a16:creationId xmlns:a16="http://schemas.microsoft.com/office/drawing/2014/main" id="{E6B0AB47-ED52-D77B-48AA-F0FBD2E9DDCA}"/>
              </a:ext>
            </a:extLst>
          </xdr:cNvPr>
          <xdr:cNvSpPr txBox="1"/>
        </xdr:nvSpPr>
        <xdr:spPr>
          <a:xfrm>
            <a:off x="6551613" y="75601953"/>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a₁=167mm</a:t>
            </a:r>
          </a:p>
        </xdr:txBody>
      </xdr:sp>
      <xdr:cxnSp macro="">
        <xdr:nvCxnSpPr>
          <xdr:cNvPr id="4986" name="VBA_Baricentro_Support_g+q_QLine_10">
            <a:extLst>
              <a:ext uri="{FF2B5EF4-FFF2-40B4-BE49-F238E27FC236}">
                <a16:creationId xmlns:a16="http://schemas.microsoft.com/office/drawing/2014/main" id="{765E217D-E4F0-54FB-A5E0-DC30B6F613F1}"/>
              </a:ext>
            </a:extLst>
          </xdr:cNvPr>
          <xdr:cNvCxnSpPr/>
        </xdr:nvCxnSpPr>
        <xdr:spPr>
          <a:xfrm>
            <a:off x="6513513" y="75930683"/>
            <a:ext cx="0" cy="99771"/>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87" name="VBA_Baricentro_Support_g+q_QText_11">
            <a:extLst>
              <a:ext uri="{FF2B5EF4-FFF2-40B4-BE49-F238E27FC236}">
                <a16:creationId xmlns:a16="http://schemas.microsoft.com/office/drawing/2014/main" id="{75667648-A0B6-8AA5-BE86-C1137AD5DC65}"/>
              </a:ext>
            </a:extLst>
          </xdr:cNvPr>
          <xdr:cNvSpPr txBox="1"/>
        </xdr:nvSpPr>
        <xdr:spPr>
          <a:xfrm>
            <a:off x="6551613" y="75904372"/>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a₂=33mm</a:t>
            </a:r>
          </a:p>
        </xdr:txBody>
      </xdr:sp>
      <xdr:cxnSp macro="">
        <xdr:nvCxnSpPr>
          <xdr:cNvPr id="4988" name="VBA_Baricentro_Support_g+q_QLine_12">
            <a:extLst>
              <a:ext uri="{FF2B5EF4-FFF2-40B4-BE49-F238E27FC236}">
                <a16:creationId xmlns:a16="http://schemas.microsoft.com/office/drawing/2014/main" id="{D490BCBC-C8C6-0EDC-ECE0-7290811D8C53}"/>
              </a:ext>
            </a:extLst>
          </xdr:cNvPr>
          <xdr:cNvCxnSpPr/>
        </xdr:nvCxnSpPr>
        <xdr:spPr>
          <a:xfrm>
            <a:off x="3987800" y="75425616"/>
            <a:ext cx="0" cy="604838"/>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4989" name="VBA_Baricentro_Support_g+q_QText_13">
            <a:extLst>
              <a:ext uri="{FF2B5EF4-FFF2-40B4-BE49-F238E27FC236}">
                <a16:creationId xmlns:a16="http://schemas.microsoft.com/office/drawing/2014/main" id="{3BDC9C31-6200-A711-F6F9-0C93086AC71E}"/>
              </a:ext>
            </a:extLst>
          </xdr:cNvPr>
          <xdr:cNvSpPr txBox="1"/>
        </xdr:nvSpPr>
        <xdr:spPr>
          <a:xfrm>
            <a:off x="3060700" y="75651835"/>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r"/>
            <a:r>
              <a:rPr lang="it-IT" sz="750" b="1">
                <a:solidFill>
                  <a:srgbClr val="282828"/>
                </a:solidFill>
                <a:latin typeface="Calibri" panose="020F0502020204030204" pitchFamily="34" charset="0"/>
              </a:rPr>
              <a:t>a=200mm</a:t>
            </a:r>
          </a:p>
        </xdr:txBody>
      </xdr:sp>
    </xdr:grpSp>
    <xdr:clientData/>
  </xdr:twoCellAnchor>
  <xdr:twoCellAnchor>
    <xdr:from>
      <xdr:col>1</xdr:col>
      <xdr:colOff>0</xdr:colOff>
      <xdr:row>291</xdr:row>
      <xdr:rowOff>444655</xdr:rowOff>
    </xdr:from>
    <xdr:to>
      <xdr:col>6</xdr:col>
      <xdr:colOff>0</xdr:colOff>
      <xdr:row>291</xdr:row>
      <xdr:rowOff>1527023</xdr:rowOff>
    </xdr:to>
    <xdr:grpSp>
      <xdr:nvGrpSpPr>
        <xdr:cNvPr id="6797" name="VBA_Baricentro_Midspan_g+q_Group">
          <a:extLst>
            <a:ext uri="{FF2B5EF4-FFF2-40B4-BE49-F238E27FC236}">
              <a16:creationId xmlns:a16="http://schemas.microsoft.com/office/drawing/2014/main" id="{A6D458A7-57C1-2CE9-8747-123C5A9D4F38}"/>
            </a:ext>
          </a:extLst>
        </xdr:cNvPr>
        <xdr:cNvGrpSpPr>
          <a:grpSpLocks/>
        </xdr:cNvGrpSpPr>
      </xdr:nvGrpSpPr>
      <xdr:grpSpPr>
        <a:xfrm>
          <a:off x="95250" y="75558805"/>
          <a:ext cx="3333750" cy="1082368"/>
          <a:chOff x="0" y="75304650"/>
          <a:chExt cx="3725863" cy="1209675"/>
        </a:xfrm>
      </xdr:grpSpPr>
      <xdr:sp macro="" textlink="">
        <xdr:nvSpPr>
          <xdr:cNvPr id="4991" name="VBA_Baricentro_Midspan_g+q_Elemento1">
            <a:extLst>
              <a:ext uri="{FF2B5EF4-FFF2-40B4-BE49-F238E27FC236}">
                <a16:creationId xmlns:a16="http://schemas.microsoft.com/office/drawing/2014/main" id="{61937A24-EEB6-3146-313C-A2A14557D4FE}"/>
              </a:ext>
            </a:extLst>
          </xdr:cNvPr>
          <xdr:cNvSpPr/>
        </xdr:nvSpPr>
        <xdr:spPr>
          <a:xfrm>
            <a:off x="476250" y="75304650"/>
            <a:ext cx="1814513" cy="241933"/>
          </a:xfrm>
          <a:prstGeom prst="rect">
            <a:avLst/>
          </a:prstGeom>
          <a:solidFill>
            <a:srgbClr val="DEB887"/>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84" name="VBA_Baricentro_Midspan_g+q_Elemento2">
            <a:extLst>
              <a:ext uri="{FF2B5EF4-FFF2-40B4-BE49-F238E27FC236}">
                <a16:creationId xmlns:a16="http://schemas.microsoft.com/office/drawing/2014/main" id="{9182C9F3-79FE-36E7-26B3-76AC540F7808}"/>
              </a:ext>
            </a:extLst>
          </xdr:cNvPr>
          <xdr:cNvSpPr/>
        </xdr:nvSpPr>
        <xdr:spPr>
          <a:xfrm>
            <a:off x="1141571" y="75546583"/>
            <a:ext cx="483870" cy="967742"/>
          </a:xfrm>
          <a:prstGeom prst="rect">
            <a:avLst/>
          </a:prstGeom>
          <a:solidFill>
            <a:srgbClr val="B88D5B"/>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785" name="VBA_Baricentro_Midspan_g+q_Linea_G1">
            <a:extLst>
              <a:ext uri="{FF2B5EF4-FFF2-40B4-BE49-F238E27FC236}">
                <a16:creationId xmlns:a16="http://schemas.microsoft.com/office/drawing/2014/main" id="{7612ACD5-5AED-ABE4-0887-D1A045CE0C16}"/>
              </a:ext>
            </a:extLst>
          </xdr:cNvPr>
          <xdr:cNvCxnSpPr/>
        </xdr:nvCxnSpPr>
        <xdr:spPr>
          <a:xfrm>
            <a:off x="476250" y="75425616"/>
            <a:ext cx="1814513"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786" name="VBA_Baricentro_Midspan_g+q_Label_G1">
            <a:extLst>
              <a:ext uri="{FF2B5EF4-FFF2-40B4-BE49-F238E27FC236}">
                <a16:creationId xmlns:a16="http://schemas.microsoft.com/office/drawing/2014/main" id="{7E5EE969-12F7-C7CA-5689-A28FDEF6163F}"/>
              </a:ext>
            </a:extLst>
          </xdr:cNvPr>
          <xdr:cNvSpPr txBox="1"/>
        </xdr:nvSpPr>
        <xdr:spPr>
          <a:xfrm>
            <a:off x="2328863" y="75336716"/>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G₁</a:t>
            </a:r>
          </a:p>
        </xdr:txBody>
      </xdr:sp>
      <xdr:cxnSp macro="">
        <xdr:nvCxnSpPr>
          <xdr:cNvPr id="6787" name="VBA_Baricentro_Midspan_g+q_Linea_G2">
            <a:extLst>
              <a:ext uri="{FF2B5EF4-FFF2-40B4-BE49-F238E27FC236}">
                <a16:creationId xmlns:a16="http://schemas.microsoft.com/office/drawing/2014/main" id="{367C97CB-CDD0-BD3B-CC4A-9759A0D7A669}"/>
              </a:ext>
            </a:extLst>
          </xdr:cNvPr>
          <xdr:cNvCxnSpPr/>
        </xdr:nvCxnSpPr>
        <xdr:spPr>
          <a:xfrm>
            <a:off x="1141571" y="76030454"/>
            <a:ext cx="483870"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788" name="VBA_Baricentro_Midspan_g+q_Label_G2">
            <a:extLst>
              <a:ext uri="{FF2B5EF4-FFF2-40B4-BE49-F238E27FC236}">
                <a16:creationId xmlns:a16="http://schemas.microsoft.com/office/drawing/2014/main" id="{81314956-85D9-44F7-60BF-A779820053BA}"/>
              </a:ext>
            </a:extLst>
          </xdr:cNvPr>
          <xdr:cNvSpPr txBox="1"/>
        </xdr:nvSpPr>
        <xdr:spPr>
          <a:xfrm>
            <a:off x="1663541" y="75941554"/>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G₂</a:t>
            </a:r>
          </a:p>
        </xdr:txBody>
      </xdr:sp>
      <xdr:cxnSp macro="">
        <xdr:nvCxnSpPr>
          <xdr:cNvPr id="6789" name="VBA_Baricentro_Midspan_g+q_Linea_G">
            <a:extLst>
              <a:ext uri="{FF2B5EF4-FFF2-40B4-BE49-F238E27FC236}">
                <a16:creationId xmlns:a16="http://schemas.microsoft.com/office/drawing/2014/main" id="{71AB5448-9B19-01CB-2866-5D659B27026E}"/>
              </a:ext>
            </a:extLst>
          </xdr:cNvPr>
          <xdr:cNvCxnSpPr/>
        </xdr:nvCxnSpPr>
        <xdr:spPr>
          <a:xfrm>
            <a:off x="476250" y="75869378"/>
            <a:ext cx="1814513"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790" name="VBA_Baricentro_Midspan_g+q_Label_G">
            <a:extLst>
              <a:ext uri="{FF2B5EF4-FFF2-40B4-BE49-F238E27FC236}">
                <a16:creationId xmlns:a16="http://schemas.microsoft.com/office/drawing/2014/main" id="{59D3F601-7797-29D1-F71E-883F356ECF47}"/>
              </a:ext>
            </a:extLst>
          </xdr:cNvPr>
          <xdr:cNvSpPr txBox="1"/>
        </xdr:nvSpPr>
        <xdr:spPr>
          <a:xfrm>
            <a:off x="2328863" y="75780478"/>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cxnSp macro="">
        <xdr:nvCxnSpPr>
          <xdr:cNvPr id="6791" name="VBA_Baricentro_Midspan_g+q_QLine_8">
            <a:extLst>
              <a:ext uri="{FF2B5EF4-FFF2-40B4-BE49-F238E27FC236}">
                <a16:creationId xmlns:a16="http://schemas.microsoft.com/office/drawing/2014/main" id="{DEB8942E-ED27-3C9E-600F-E4864D633836}"/>
              </a:ext>
            </a:extLst>
          </xdr:cNvPr>
          <xdr:cNvCxnSpPr/>
        </xdr:nvCxnSpPr>
        <xdr:spPr>
          <a:xfrm>
            <a:off x="2798763" y="75425616"/>
            <a:ext cx="0" cy="443762"/>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792" name="VBA_Baricentro_Midspan_g+q_QText_9">
            <a:extLst>
              <a:ext uri="{FF2B5EF4-FFF2-40B4-BE49-F238E27FC236}">
                <a16:creationId xmlns:a16="http://schemas.microsoft.com/office/drawing/2014/main" id="{AB8B962E-B109-84C9-1F5C-5A9FFBF237AB}"/>
              </a:ext>
            </a:extLst>
          </xdr:cNvPr>
          <xdr:cNvSpPr txBox="1"/>
        </xdr:nvSpPr>
        <xdr:spPr>
          <a:xfrm>
            <a:off x="2836863" y="75571294"/>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a₁=147mm</a:t>
            </a:r>
          </a:p>
        </xdr:txBody>
      </xdr:sp>
      <xdr:cxnSp macro="">
        <xdr:nvCxnSpPr>
          <xdr:cNvPr id="6793" name="VBA_Baricentro_Midspan_g+q_QLine_10">
            <a:extLst>
              <a:ext uri="{FF2B5EF4-FFF2-40B4-BE49-F238E27FC236}">
                <a16:creationId xmlns:a16="http://schemas.microsoft.com/office/drawing/2014/main" id="{EFCACA22-DA6C-FA02-23EF-5B09A7F9F8C4}"/>
              </a:ext>
            </a:extLst>
          </xdr:cNvPr>
          <xdr:cNvCxnSpPr/>
        </xdr:nvCxnSpPr>
        <xdr:spPr>
          <a:xfrm>
            <a:off x="2798763" y="75869378"/>
            <a:ext cx="0" cy="161076"/>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794" name="VBA_Baricentro_Midspan_g+q_QText_11">
            <a:extLst>
              <a:ext uri="{FF2B5EF4-FFF2-40B4-BE49-F238E27FC236}">
                <a16:creationId xmlns:a16="http://schemas.microsoft.com/office/drawing/2014/main" id="{6BD54D25-3984-20DD-9510-320A9EBAEAA3}"/>
              </a:ext>
            </a:extLst>
          </xdr:cNvPr>
          <xdr:cNvSpPr txBox="1"/>
        </xdr:nvSpPr>
        <xdr:spPr>
          <a:xfrm>
            <a:off x="2836863" y="75873713"/>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a₂=53mm</a:t>
            </a:r>
          </a:p>
        </xdr:txBody>
      </xdr:sp>
      <xdr:cxnSp macro="">
        <xdr:nvCxnSpPr>
          <xdr:cNvPr id="6795" name="VBA_Baricentro_Midspan_g+q_QLine_12">
            <a:extLst>
              <a:ext uri="{FF2B5EF4-FFF2-40B4-BE49-F238E27FC236}">
                <a16:creationId xmlns:a16="http://schemas.microsoft.com/office/drawing/2014/main" id="{CB2DDC13-F075-143F-106C-4B7232E4DF9E}"/>
              </a:ext>
            </a:extLst>
          </xdr:cNvPr>
          <xdr:cNvCxnSpPr/>
        </xdr:nvCxnSpPr>
        <xdr:spPr>
          <a:xfrm>
            <a:off x="273050" y="75425616"/>
            <a:ext cx="0" cy="604838"/>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796" name="VBA_Baricentro_Midspan_g+q_QText_13">
            <a:extLst>
              <a:ext uri="{FF2B5EF4-FFF2-40B4-BE49-F238E27FC236}">
                <a16:creationId xmlns:a16="http://schemas.microsoft.com/office/drawing/2014/main" id="{EE4F728C-E05A-796D-4423-B3556BCF5293}"/>
              </a:ext>
            </a:extLst>
          </xdr:cNvPr>
          <xdr:cNvSpPr txBox="1"/>
        </xdr:nvSpPr>
        <xdr:spPr>
          <a:xfrm>
            <a:off x="0" y="75651835"/>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r"/>
            <a:r>
              <a:rPr lang="it-IT" sz="750" b="1">
                <a:solidFill>
                  <a:srgbClr val="282828"/>
                </a:solidFill>
                <a:latin typeface="Calibri" panose="020F0502020204030204" pitchFamily="34" charset="0"/>
              </a:rPr>
              <a:t>a=200mm</a:t>
            </a:r>
          </a:p>
        </xdr:txBody>
      </xdr:sp>
    </xdr:grpSp>
    <xdr:clientData/>
  </xdr:twoCellAnchor>
  <xdr:twoCellAnchor>
    <xdr:from>
      <xdr:col>2</xdr:col>
      <xdr:colOff>200025</xdr:colOff>
      <xdr:row>316</xdr:row>
      <xdr:rowOff>127000</xdr:rowOff>
    </xdr:from>
    <xdr:to>
      <xdr:col>9</xdr:col>
      <xdr:colOff>276225</xdr:colOff>
      <xdr:row>316</xdr:row>
      <xdr:rowOff>1778001</xdr:rowOff>
    </xdr:to>
    <xdr:grpSp>
      <xdr:nvGrpSpPr>
        <xdr:cNvPr id="6839" name="VBA_ShearFlow_t0_g+q_Group">
          <a:extLst>
            <a:ext uri="{FF2B5EF4-FFF2-40B4-BE49-F238E27FC236}">
              <a16:creationId xmlns:a16="http://schemas.microsoft.com/office/drawing/2014/main" id="{F7A346C7-BF92-A5EF-71FC-7EA73CD9041C}"/>
            </a:ext>
          </a:extLst>
        </xdr:cNvPr>
        <xdr:cNvGrpSpPr>
          <a:grpSpLocks/>
        </xdr:cNvGrpSpPr>
      </xdr:nvGrpSpPr>
      <xdr:grpSpPr>
        <a:xfrm>
          <a:off x="1438275" y="83080225"/>
          <a:ext cx="4362450" cy="1651001"/>
          <a:chOff x="0" y="83016725"/>
          <a:chExt cx="4362450" cy="1651001"/>
        </a:xfrm>
      </xdr:grpSpPr>
      <xdr:sp macro="" textlink="">
        <xdr:nvSpPr>
          <xdr:cNvPr id="6804" name="VBA_ShearFlow_t0_g+q_CLT_Strato_0">
            <a:extLst>
              <a:ext uri="{FF2B5EF4-FFF2-40B4-BE49-F238E27FC236}">
                <a16:creationId xmlns:a16="http://schemas.microsoft.com/office/drawing/2014/main" id="{2E7631DC-891A-330F-E503-D28699CD2A08}"/>
              </a:ext>
            </a:extLst>
          </xdr:cNvPr>
          <xdr:cNvSpPr/>
        </xdr:nvSpPr>
        <xdr:spPr>
          <a:xfrm>
            <a:off x="222250" y="83016725"/>
            <a:ext cx="508000" cy="123825"/>
          </a:xfrm>
          <a:prstGeom prst="rect">
            <a:avLst/>
          </a:prstGeom>
          <a:solidFill>
            <a:srgbClr val="EECBA1"/>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05" name="VBA_ShearFlow_t0_g+q_CLT_Strato_1">
            <a:extLst>
              <a:ext uri="{FF2B5EF4-FFF2-40B4-BE49-F238E27FC236}">
                <a16:creationId xmlns:a16="http://schemas.microsoft.com/office/drawing/2014/main" id="{D400BE83-2102-4EEA-3641-05B37DD14843}"/>
              </a:ext>
            </a:extLst>
          </xdr:cNvPr>
          <xdr:cNvSpPr/>
        </xdr:nvSpPr>
        <xdr:spPr>
          <a:xfrm>
            <a:off x="222250" y="83140550"/>
            <a:ext cx="508000" cy="82550"/>
          </a:xfrm>
          <a:prstGeom prst="rect">
            <a:avLst/>
          </a:prstGeom>
          <a:solidFill>
            <a:srgbClr val="DEB887"/>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07" name="VBA_ShearFlow_t0_g+q_CLT_Tratteggio_1_27">
            <a:extLst>
              <a:ext uri="{FF2B5EF4-FFF2-40B4-BE49-F238E27FC236}">
                <a16:creationId xmlns:a16="http://schemas.microsoft.com/office/drawing/2014/main" id="{78103D2F-F18E-AFC3-C23F-D6B293A1B738}"/>
              </a:ext>
            </a:extLst>
          </xdr:cNvPr>
          <xdr:cNvCxnSpPr/>
        </xdr:nvCxnSpPr>
        <xdr:spPr>
          <a:xfrm>
            <a:off x="349250" y="83153250"/>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08" name="VBA_ShearFlow_t0_g+q_CLT_Tratteggio_1_37">
            <a:extLst>
              <a:ext uri="{FF2B5EF4-FFF2-40B4-BE49-F238E27FC236}">
                <a16:creationId xmlns:a16="http://schemas.microsoft.com/office/drawing/2014/main" id="{BEF34CDF-9F7A-37C2-2BBC-34463BBC56F4}"/>
              </a:ext>
            </a:extLst>
          </xdr:cNvPr>
          <xdr:cNvCxnSpPr/>
        </xdr:nvCxnSpPr>
        <xdr:spPr>
          <a:xfrm>
            <a:off x="476250" y="83153250"/>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09" name="VBA_ShearFlow_t0_g+q_CLT_Tratteggio_1_47">
            <a:extLst>
              <a:ext uri="{FF2B5EF4-FFF2-40B4-BE49-F238E27FC236}">
                <a16:creationId xmlns:a16="http://schemas.microsoft.com/office/drawing/2014/main" id="{894F9E06-3C5C-8CB5-6CA6-420D3209A63C}"/>
              </a:ext>
            </a:extLst>
          </xdr:cNvPr>
          <xdr:cNvCxnSpPr/>
        </xdr:nvCxnSpPr>
        <xdr:spPr>
          <a:xfrm>
            <a:off x="603250" y="83153250"/>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0" name="VBA_ShearFlow_t0_g+q_Guida_GuidaCLT_1">
            <a:extLst>
              <a:ext uri="{FF2B5EF4-FFF2-40B4-BE49-F238E27FC236}">
                <a16:creationId xmlns:a16="http://schemas.microsoft.com/office/drawing/2014/main" id="{18263506-4499-E413-48F8-32D2DDD158AF}"/>
              </a:ext>
            </a:extLst>
          </xdr:cNvPr>
          <xdr:cNvCxnSpPr/>
        </xdr:nvCxnSpPr>
        <xdr:spPr>
          <a:xfrm>
            <a:off x="730250" y="83140550"/>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sp macro="" textlink="">
        <xdr:nvSpPr>
          <xdr:cNvPr id="6811" name="VBA_ShearFlow_t0_g+q_CLT_Strato_2">
            <a:extLst>
              <a:ext uri="{FF2B5EF4-FFF2-40B4-BE49-F238E27FC236}">
                <a16:creationId xmlns:a16="http://schemas.microsoft.com/office/drawing/2014/main" id="{931F8AE5-26A5-390B-8DD4-618B2B4D45A3}"/>
              </a:ext>
            </a:extLst>
          </xdr:cNvPr>
          <xdr:cNvSpPr/>
        </xdr:nvSpPr>
        <xdr:spPr>
          <a:xfrm>
            <a:off x="222250" y="83223100"/>
            <a:ext cx="508000" cy="123825"/>
          </a:xfrm>
          <a:prstGeom prst="rect">
            <a:avLst/>
          </a:prstGeom>
          <a:solidFill>
            <a:srgbClr val="EECBA1"/>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12" name="VBA_ShearFlow_t0_g+q_Guida_GuidaCLT_2">
            <a:extLst>
              <a:ext uri="{FF2B5EF4-FFF2-40B4-BE49-F238E27FC236}">
                <a16:creationId xmlns:a16="http://schemas.microsoft.com/office/drawing/2014/main" id="{7737F4EA-6177-2673-2A88-CF9E184C98CA}"/>
              </a:ext>
            </a:extLst>
          </xdr:cNvPr>
          <xdr:cNvCxnSpPr/>
        </xdr:nvCxnSpPr>
        <xdr:spPr>
          <a:xfrm>
            <a:off x="730250" y="83223100"/>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sp macro="" textlink="">
        <xdr:nvSpPr>
          <xdr:cNvPr id="6813" name="VBA_ShearFlow_t0_g+q_CLT_Bordo">
            <a:extLst>
              <a:ext uri="{FF2B5EF4-FFF2-40B4-BE49-F238E27FC236}">
                <a16:creationId xmlns:a16="http://schemas.microsoft.com/office/drawing/2014/main" id="{E92ED521-4949-57E2-4C2C-FAC1ECAEC82B}"/>
              </a:ext>
            </a:extLst>
          </xdr:cNvPr>
          <xdr:cNvSpPr/>
        </xdr:nvSpPr>
        <xdr:spPr>
          <a:xfrm>
            <a:off x="222250" y="83016725"/>
            <a:ext cx="508000" cy="330200"/>
          </a:xfrm>
          <a:prstGeom prst="rect">
            <a:avLst/>
          </a:prstGeom>
          <a:noFill/>
          <a:ln w="15875" cap="flat" cmpd="sng" algn="ctr">
            <a:solidFill>
              <a:srgbClr val="503C28"/>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14" name="VBA_ShearFlow_t0_g+q_Elemento2">
            <a:extLst>
              <a:ext uri="{FF2B5EF4-FFF2-40B4-BE49-F238E27FC236}">
                <a16:creationId xmlns:a16="http://schemas.microsoft.com/office/drawing/2014/main" id="{140730FC-39B4-A7AA-F214-6580E7D38EA8}"/>
              </a:ext>
            </a:extLst>
          </xdr:cNvPr>
          <xdr:cNvSpPr/>
        </xdr:nvSpPr>
        <xdr:spPr>
          <a:xfrm>
            <a:off x="222250" y="83346925"/>
            <a:ext cx="508000" cy="1320800"/>
          </a:xfrm>
          <a:prstGeom prst="rect">
            <a:avLst/>
          </a:prstGeom>
          <a:solidFill>
            <a:srgbClr val="C49A6C"/>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15" name="VBA_ShearFlow_t0_g+q_Guida_GuidaInterfacciaCLT_GL">
            <a:extLst>
              <a:ext uri="{FF2B5EF4-FFF2-40B4-BE49-F238E27FC236}">
                <a16:creationId xmlns:a16="http://schemas.microsoft.com/office/drawing/2014/main" id="{ADFBAADD-540C-7CF8-34D1-723F8F0F9252}"/>
              </a:ext>
            </a:extLst>
          </xdr:cNvPr>
          <xdr:cNvCxnSpPr/>
        </xdr:nvCxnSpPr>
        <xdr:spPr>
          <a:xfrm>
            <a:off x="730250" y="83346925"/>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cxnSp macro="">
        <xdr:nvCxnSpPr>
          <xdr:cNvPr id="6816" name="VBA_ShearFlow_t0_g+q_GL_L_1">
            <a:extLst>
              <a:ext uri="{FF2B5EF4-FFF2-40B4-BE49-F238E27FC236}">
                <a16:creationId xmlns:a16="http://schemas.microsoft.com/office/drawing/2014/main" id="{EEF9B466-798C-FEF2-7B68-099087C24E4D}"/>
              </a:ext>
            </a:extLst>
          </xdr:cNvPr>
          <xdr:cNvCxnSpPr/>
        </xdr:nvCxnSpPr>
        <xdr:spPr>
          <a:xfrm>
            <a:off x="222250" y="83512025"/>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7" name="VBA_ShearFlow_t0_g+q_GL_L_2">
            <a:extLst>
              <a:ext uri="{FF2B5EF4-FFF2-40B4-BE49-F238E27FC236}">
                <a16:creationId xmlns:a16="http://schemas.microsoft.com/office/drawing/2014/main" id="{E2AFFFB0-94B7-0E0F-624C-063E46E6152B}"/>
              </a:ext>
            </a:extLst>
          </xdr:cNvPr>
          <xdr:cNvCxnSpPr/>
        </xdr:nvCxnSpPr>
        <xdr:spPr>
          <a:xfrm>
            <a:off x="222250" y="83677125"/>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8" name="VBA_ShearFlow_t0_g+q_GL_L_3">
            <a:extLst>
              <a:ext uri="{FF2B5EF4-FFF2-40B4-BE49-F238E27FC236}">
                <a16:creationId xmlns:a16="http://schemas.microsoft.com/office/drawing/2014/main" id="{264676EA-0189-6ABF-C05C-04A332C568D3}"/>
              </a:ext>
            </a:extLst>
          </xdr:cNvPr>
          <xdr:cNvCxnSpPr/>
        </xdr:nvCxnSpPr>
        <xdr:spPr>
          <a:xfrm>
            <a:off x="222250" y="83842225"/>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9" name="VBA_ShearFlow_t0_g+q_GL_L_4">
            <a:extLst>
              <a:ext uri="{FF2B5EF4-FFF2-40B4-BE49-F238E27FC236}">
                <a16:creationId xmlns:a16="http://schemas.microsoft.com/office/drawing/2014/main" id="{220EBE47-1B9C-32FD-04CE-ACC8AA313E9A}"/>
              </a:ext>
            </a:extLst>
          </xdr:cNvPr>
          <xdr:cNvCxnSpPr/>
        </xdr:nvCxnSpPr>
        <xdr:spPr>
          <a:xfrm>
            <a:off x="222250" y="84007325"/>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20" name="VBA_ShearFlow_t0_g+q_GL_L_5">
            <a:extLst>
              <a:ext uri="{FF2B5EF4-FFF2-40B4-BE49-F238E27FC236}">
                <a16:creationId xmlns:a16="http://schemas.microsoft.com/office/drawing/2014/main" id="{7B593A94-C7EB-EB25-5D91-5168D9A32F09}"/>
              </a:ext>
            </a:extLst>
          </xdr:cNvPr>
          <xdr:cNvCxnSpPr/>
        </xdr:nvCxnSpPr>
        <xdr:spPr>
          <a:xfrm>
            <a:off x="222250" y="84172425"/>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21" name="VBA_ShearFlow_t0_g+q_GL_L_6">
            <a:extLst>
              <a:ext uri="{FF2B5EF4-FFF2-40B4-BE49-F238E27FC236}">
                <a16:creationId xmlns:a16="http://schemas.microsoft.com/office/drawing/2014/main" id="{210EB73E-944B-75CE-307C-8C8D0E2BF9D0}"/>
              </a:ext>
            </a:extLst>
          </xdr:cNvPr>
          <xdr:cNvCxnSpPr/>
        </xdr:nvCxnSpPr>
        <xdr:spPr>
          <a:xfrm>
            <a:off x="222250" y="84337525"/>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22" name="VBA_ShearFlow_t0_g+q_GL_L_7">
            <a:extLst>
              <a:ext uri="{FF2B5EF4-FFF2-40B4-BE49-F238E27FC236}">
                <a16:creationId xmlns:a16="http://schemas.microsoft.com/office/drawing/2014/main" id="{1BBD2CFF-2D56-C66F-9B0C-3784B32DEC9B}"/>
              </a:ext>
            </a:extLst>
          </xdr:cNvPr>
          <xdr:cNvCxnSpPr/>
        </xdr:nvCxnSpPr>
        <xdr:spPr>
          <a:xfrm>
            <a:off x="222250" y="84502625"/>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23" name="VBA_ShearFlow_t0_g+q_CLT_BordoSx">
            <a:extLst>
              <a:ext uri="{FF2B5EF4-FFF2-40B4-BE49-F238E27FC236}">
                <a16:creationId xmlns:a16="http://schemas.microsoft.com/office/drawing/2014/main" id="{8201F1FE-967F-79EE-9A3A-15C2C20EF0A3}"/>
              </a:ext>
            </a:extLst>
          </xdr:cNvPr>
          <xdr:cNvCxnSpPr/>
        </xdr:nvCxnSpPr>
        <xdr:spPr>
          <a:xfrm>
            <a:off x="222250" y="83016725"/>
            <a:ext cx="0" cy="330200"/>
          </a:xfrm>
          <a:prstGeom prst="line">
            <a:avLst/>
          </a:prstGeom>
          <a:ln w="22225">
            <a:solidFill>
              <a:srgbClr val="503C28"/>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6824" name="VBA_ShearFlow_t0_g+q_Trave_BordoSx">
            <a:extLst>
              <a:ext uri="{FF2B5EF4-FFF2-40B4-BE49-F238E27FC236}">
                <a16:creationId xmlns:a16="http://schemas.microsoft.com/office/drawing/2014/main" id="{7BC1D92A-E14D-006E-01D6-2AF50C162685}"/>
              </a:ext>
            </a:extLst>
          </xdr:cNvPr>
          <xdr:cNvCxnSpPr/>
        </xdr:nvCxnSpPr>
        <xdr:spPr>
          <a:xfrm>
            <a:off x="222250" y="83346925"/>
            <a:ext cx="0" cy="1320800"/>
          </a:xfrm>
          <a:prstGeom prst="line">
            <a:avLst/>
          </a:prstGeom>
          <a:ln w="22225">
            <a:solidFill>
              <a:srgbClr val="785A3C"/>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6825" name="VBA_ShearFlow_t0_g+q_Linea_G">
            <a:extLst>
              <a:ext uri="{FF2B5EF4-FFF2-40B4-BE49-F238E27FC236}">
                <a16:creationId xmlns:a16="http://schemas.microsoft.com/office/drawing/2014/main" id="{9BA1BBF1-FB4B-2D11-FAE7-0877726FFBC0}"/>
              </a:ext>
            </a:extLst>
          </xdr:cNvPr>
          <xdr:cNvCxnSpPr/>
        </xdr:nvCxnSpPr>
        <xdr:spPr>
          <a:xfrm>
            <a:off x="222250" y="83871153"/>
            <a:ext cx="2413000"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30" name="VBA_ShearFlow_t0_g+q_Label_G">
            <a:extLst>
              <a:ext uri="{FF2B5EF4-FFF2-40B4-BE49-F238E27FC236}">
                <a16:creationId xmlns:a16="http://schemas.microsoft.com/office/drawing/2014/main" id="{9EA3A478-FCBD-12BD-6A54-5543AC7B1A62}"/>
              </a:ext>
            </a:extLst>
          </xdr:cNvPr>
          <xdr:cNvSpPr txBox="1"/>
        </xdr:nvSpPr>
        <xdr:spPr>
          <a:xfrm>
            <a:off x="0" y="83782253"/>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sp macro="" textlink="">
        <xdr:nvSpPr>
          <xdr:cNvPr id="6831" name="VBA_ShearFlow_t0_g+q_CurvaTau">
            <a:extLst>
              <a:ext uri="{FF2B5EF4-FFF2-40B4-BE49-F238E27FC236}">
                <a16:creationId xmlns:a16="http://schemas.microsoft.com/office/drawing/2014/main" id="{F05C9D81-B121-9507-DEF9-D93891DB0189}"/>
              </a:ext>
            </a:extLst>
          </xdr:cNvPr>
          <xdr:cNvSpPr/>
        </xdr:nvSpPr>
        <xdr:spPr>
          <a:xfrm>
            <a:off x="1492250" y="83016725"/>
            <a:ext cx="1142971" cy="1651001"/>
          </a:xfrm>
          <a:custGeom>
            <a:avLst/>
            <a:gdLst/>
            <a:ahLst/>
            <a:cxnLst/>
            <a:rect l="0" t="0" r="0" b="0"/>
            <a:pathLst>
              <a:path w="1142971" h="1651001">
                <a:moveTo>
                  <a:pt x="0" y="0"/>
                </a:moveTo>
                <a:lnTo>
                  <a:pt x="50278" y="20638"/>
                </a:lnTo>
                <a:lnTo>
                  <a:pt x="99089" y="41275"/>
                </a:lnTo>
                <a:lnTo>
                  <a:pt x="146432" y="61913"/>
                </a:lnTo>
                <a:lnTo>
                  <a:pt x="192307" y="82550"/>
                </a:lnTo>
                <a:lnTo>
                  <a:pt x="236714" y="103188"/>
                </a:lnTo>
                <a:lnTo>
                  <a:pt x="279654" y="123825"/>
                </a:lnTo>
                <a:lnTo>
                  <a:pt x="279654" y="137585"/>
                </a:lnTo>
                <a:lnTo>
                  <a:pt x="279654" y="151340"/>
                </a:lnTo>
                <a:lnTo>
                  <a:pt x="279654" y="165100"/>
                </a:lnTo>
                <a:lnTo>
                  <a:pt x="279654" y="178860"/>
                </a:lnTo>
                <a:lnTo>
                  <a:pt x="279654" y="192615"/>
                </a:lnTo>
                <a:lnTo>
                  <a:pt x="279654" y="206375"/>
                </a:lnTo>
                <a:lnTo>
                  <a:pt x="315256" y="227013"/>
                </a:lnTo>
                <a:lnTo>
                  <a:pt x="349389" y="247650"/>
                </a:lnTo>
                <a:lnTo>
                  <a:pt x="382055" y="268288"/>
                </a:lnTo>
                <a:lnTo>
                  <a:pt x="413253" y="288925"/>
                </a:lnTo>
                <a:lnTo>
                  <a:pt x="442984" y="309563"/>
                </a:lnTo>
                <a:lnTo>
                  <a:pt x="471247" y="330200"/>
                </a:lnTo>
                <a:lnTo>
                  <a:pt x="647965" y="330200"/>
                </a:lnTo>
                <a:lnTo>
                  <a:pt x="764833" y="396242"/>
                </a:lnTo>
                <a:lnTo>
                  <a:pt x="865990" y="462279"/>
                </a:lnTo>
                <a:lnTo>
                  <a:pt x="951434" y="528321"/>
                </a:lnTo>
                <a:lnTo>
                  <a:pt x="1021166" y="594358"/>
                </a:lnTo>
                <a:lnTo>
                  <a:pt x="1075185" y="660400"/>
                </a:lnTo>
                <a:lnTo>
                  <a:pt x="1113492" y="726442"/>
                </a:lnTo>
                <a:lnTo>
                  <a:pt x="1136087" y="792479"/>
                </a:lnTo>
                <a:lnTo>
                  <a:pt x="1142970" y="858521"/>
                </a:lnTo>
                <a:lnTo>
                  <a:pt x="1134140" y="924558"/>
                </a:lnTo>
                <a:lnTo>
                  <a:pt x="1109598" y="990600"/>
                </a:lnTo>
                <a:lnTo>
                  <a:pt x="1069344" y="1056642"/>
                </a:lnTo>
                <a:lnTo>
                  <a:pt x="1013377" y="1122679"/>
                </a:lnTo>
                <a:lnTo>
                  <a:pt x="941698" y="1188721"/>
                </a:lnTo>
                <a:lnTo>
                  <a:pt x="854307" y="1254758"/>
                </a:lnTo>
                <a:lnTo>
                  <a:pt x="751203" y="1320800"/>
                </a:lnTo>
                <a:lnTo>
                  <a:pt x="632387" y="1386842"/>
                </a:lnTo>
                <a:lnTo>
                  <a:pt x="497859" y="1452879"/>
                </a:lnTo>
                <a:lnTo>
                  <a:pt x="347618" y="1518921"/>
                </a:lnTo>
                <a:lnTo>
                  <a:pt x="181665" y="1584958"/>
                </a:lnTo>
                <a:lnTo>
                  <a:pt x="0" y="1651000"/>
                </a:lnTo>
              </a:path>
            </a:pathLst>
          </a:custGeom>
          <a:ln w="19050">
            <a:solidFill>
              <a:srgbClr val="005AAA"/>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it-IT" sz="1100"/>
          </a:p>
        </xdr:txBody>
      </xdr:sp>
      <xdr:cxnSp macro="">
        <xdr:nvCxnSpPr>
          <xdr:cNvPr id="6832" name="VBA_ShearFlow_t0_g+q_AsseTau">
            <a:extLst>
              <a:ext uri="{FF2B5EF4-FFF2-40B4-BE49-F238E27FC236}">
                <a16:creationId xmlns:a16="http://schemas.microsoft.com/office/drawing/2014/main" id="{AF9883E5-D469-23D7-0C4B-9BDCBF1ACAEF}"/>
              </a:ext>
            </a:extLst>
          </xdr:cNvPr>
          <xdr:cNvCxnSpPr/>
        </xdr:nvCxnSpPr>
        <xdr:spPr>
          <a:xfrm>
            <a:off x="1492250" y="83016725"/>
            <a:ext cx="0" cy="1651000"/>
          </a:xfrm>
          <a:prstGeom prst="line">
            <a:avLst/>
          </a:prstGeom>
          <a:ln w="9525">
            <a:solidFill>
              <a:srgbClr val="8C8C8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33" name="VBA_ShearFlow_t0_g+q_Marcatore_MaxOrtogonale">
            <a:extLst>
              <a:ext uri="{FF2B5EF4-FFF2-40B4-BE49-F238E27FC236}">
                <a16:creationId xmlns:a16="http://schemas.microsoft.com/office/drawing/2014/main" id="{109AABE7-8E7F-A2BC-FC6F-6CF86CAAE1AA}"/>
              </a:ext>
            </a:extLst>
          </xdr:cNvPr>
          <xdr:cNvSpPr/>
        </xdr:nvSpPr>
        <xdr:spPr>
          <a:xfrm>
            <a:off x="1733804" y="83143725"/>
            <a:ext cx="76200" cy="76200"/>
          </a:xfrm>
          <a:prstGeom prst="ellipse">
            <a:avLst/>
          </a:prstGeom>
          <a:solidFill>
            <a:srgbClr val="008C00"/>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4" name="VBA_ShearFlow_t0_g+q_MarcatoreLabel_MaxOrtogonale">
            <a:extLst>
              <a:ext uri="{FF2B5EF4-FFF2-40B4-BE49-F238E27FC236}">
                <a16:creationId xmlns:a16="http://schemas.microsoft.com/office/drawing/2014/main" id="{5E771BA7-2F5B-C1A8-4BA1-7B1AEDDD9F2B}"/>
              </a:ext>
            </a:extLst>
          </xdr:cNvPr>
          <xdr:cNvSpPr txBox="1"/>
        </xdr:nvSpPr>
        <xdr:spPr>
          <a:xfrm>
            <a:off x="1848104" y="83105625"/>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008C00"/>
                </a:solidFill>
                <a:latin typeface="Calibri" panose="020F0502020204030204" pitchFamily="34" charset="0"/>
              </a:rPr>
              <a:t>τ</a:t>
            </a:r>
            <a:r>
              <a:rPr lang="it-IT" sz="750" b="1">
                <a:solidFill>
                  <a:srgbClr val="008C00"/>
                </a:solidFill>
                <a:latin typeface="Calibri" panose="020F0502020204030204" pitchFamily="34" charset="0"/>
              </a:rPr>
              <a:t>rs=0,076 MPa (strato 2)</a:t>
            </a:r>
          </a:p>
        </xdr:txBody>
      </xdr:sp>
      <xdr:sp macro="" textlink="">
        <xdr:nvSpPr>
          <xdr:cNvPr id="6835" name="VBA_ShearFlow_t0_g+q_Marcatore_MaxLongitudinale">
            <a:extLst>
              <a:ext uri="{FF2B5EF4-FFF2-40B4-BE49-F238E27FC236}">
                <a16:creationId xmlns:a16="http://schemas.microsoft.com/office/drawing/2014/main" id="{0D638A17-1830-6ACB-7716-CFD37842690C}"/>
              </a:ext>
            </a:extLst>
          </xdr:cNvPr>
          <xdr:cNvSpPr/>
        </xdr:nvSpPr>
        <xdr:spPr>
          <a:xfrm>
            <a:off x="1925397" y="83308825"/>
            <a:ext cx="76200" cy="76200"/>
          </a:xfrm>
          <a:prstGeom prst="ellipse">
            <a:avLst/>
          </a:prstGeom>
          <a:solidFill>
            <a:srgbClr val="A05A00"/>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6" name="VBA_ShearFlow_t0_g+q_MarcatoreLabel_MaxLongitudinale">
            <a:extLst>
              <a:ext uri="{FF2B5EF4-FFF2-40B4-BE49-F238E27FC236}">
                <a16:creationId xmlns:a16="http://schemas.microsoft.com/office/drawing/2014/main" id="{E53440DB-2EC5-7F48-8D09-049762AD9F2E}"/>
              </a:ext>
            </a:extLst>
          </xdr:cNvPr>
          <xdr:cNvSpPr txBox="1"/>
        </xdr:nvSpPr>
        <xdr:spPr>
          <a:xfrm>
            <a:off x="2039697" y="83270725"/>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A05A00"/>
                </a:solidFill>
                <a:latin typeface="Calibri" panose="020F0502020204030204" pitchFamily="34" charset="0"/>
              </a:rPr>
              <a:t>τ</a:t>
            </a:r>
            <a:r>
              <a:rPr lang="it-IT" sz="750" b="1">
                <a:solidFill>
                  <a:srgbClr val="A05A00"/>
                </a:solidFill>
                <a:latin typeface="Calibri" panose="020F0502020204030204" pitchFamily="34" charset="0"/>
              </a:rPr>
              <a:t>v,CLT=0,128 MPa (strato 3)</a:t>
            </a:r>
          </a:p>
        </xdr:txBody>
      </xdr:sp>
      <xdr:sp macro="" textlink="">
        <xdr:nvSpPr>
          <xdr:cNvPr id="6837" name="VBA_ShearFlow_t0_g+q_Marcatore_MaxTrave">
            <a:extLst>
              <a:ext uri="{FF2B5EF4-FFF2-40B4-BE49-F238E27FC236}">
                <a16:creationId xmlns:a16="http://schemas.microsoft.com/office/drawing/2014/main" id="{BE35470C-F100-FF49-EDFF-01DA8DE435B1}"/>
              </a:ext>
            </a:extLst>
          </xdr:cNvPr>
          <xdr:cNvSpPr/>
        </xdr:nvSpPr>
        <xdr:spPr>
          <a:xfrm>
            <a:off x="2597150" y="83833053"/>
            <a:ext cx="76200" cy="76200"/>
          </a:xfrm>
          <a:prstGeom prst="ellipse">
            <a:avLst/>
          </a:prstGeom>
          <a:solidFill>
            <a:srgbClr val="005AAA"/>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8" name="VBA_ShearFlow_t0_g+q_MarcatoreLabel_MaxTrave">
            <a:extLst>
              <a:ext uri="{FF2B5EF4-FFF2-40B4-BE49-F238E27FC236}">
                <a16:creationId xmlns:a16="http://schemas.microsoft.com/office/drawing/2014/main" id="{875B2E0C-51E2-8A46-8D79-84A8D96447CA}"/>
              </a:ext>
            </a:extLst>
          </xdr:cNvPr>
          <xdr:cNvSpPr txBox="1"/>
        </xdr:nvSpPr>
        <xdr:spPr>
          <a:xfrm>
            <a:off x="2711450" y="83794953"/>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005AAA"/>
                </a:solidFill>
                <a:latin typeface="Calibri" panose="020F0502020204030204" pitchFamily="34" charset="0"/>
              </a:rPr>
              <a:t>τ</a:t>
            </a:r>
            <a:r>
              <a:rPr lang="it-IT" sz="750" b="1">
                <a:solidFill>
                  <a:srgbClr val="005AAA"/>
                </a:solidFill>
                <a:latin typeface="Calibri" panose="020F0502020204030204" pitchFamily="34" charset="0"/>
              </a:rPr>
              <a:t>v,GL=0,310 MPa</a:t>
            </a:r>
          </a:p>
        </xdr:txBody>
      </xdr:sp>
    </xdr:grpSp>
    <xdr:clientData/>
  </xdr:twoCellAnchor>
  <xdr:twoCellAnchor>
    <xdr:from>
      <xdr:col>2</xdr:col>
      <xdr:colOff>200025</xdr:colOff>
      <xdr:row>352</xdr:row>
      <xdr:rowOff>127000</xdr:rowOff>
    </xdr:from>
    <xdr:to>
      <xdr:col>9</xdr:col>
      <xdr:colOff>276225</xdr:colOff>
      <xdr:row>352</xdr:row>
      <xdr:rowOff>1778001</xdr:rowOff>
    </xdr:to>
    <xdr:grpSp>
      <xdr:nvGrpSpPr>
        <xdr:cNvPr id="6872" name="VBA_ShearFlow_tinf_g_Group">
          <a:extLst>
            <a:ext uri="{FF2B5EF4-FFF2-40B4-BE49-F238E27FC236}">
              <a16:creationId xmlns:a16="http://schemas.microsoft.com/office/drawing/2014/main" id="{7C02F954-FBEE-7412-6A98-2ED38B6ED2BD}"/>
            </a:ext>
          </a:extLst>
        </xdr:cNvPr>
        <xdr:cNvGrpSpPr>
          <a:grpSpLocks/>
        </xdr:cNvGrpSpPr>
      </xdr:nvGrpSpPr>
      <xdr:grpSpPr>
        <a:xfrm>
          <a:off x="1438275" y="94234000"/>
          <a:ext cx="4362450" cy="1651001"/>
          <a:chOff x="0" y="94170500"/>
          <a:chExt cx="4362450" cy="1651001"/>
        </a:xfrm>
      </xdr:grpSpPr>
      <xdr:sp macro="" textlink="">
        <xdr:nvSpPr>
          <xdr:cNvPr id="6840" name="VBA_ShearFlow_tinf_g_CLT_Strato_0">
            <a:extLst>
              <a:ext uri="{FF2B5EF4-FFF2-40B4-BE49-F238E27FC236}">
                <a16:creationId xmlns:a16="http://schemas.microsoft.com/office/drawing/2014/main" id="{EE0C023C-CDC1-ACA9-90C8-1E5E23EA9D56}"/>
              </a:ext>
            </a:extLst>
          </xdr:cNvPr>
          <xdr:cNvSpPr/>
        </xdr:nvSpPr>
        <xdr:spPr>
          <a:xfrm>
            <a:off x="222250" y="94170500"/>
            <a:ext cx="508000" cy="123825"/>
          </a:xfrm>
          <a:prstGeom prst="rect">
            <a:avLst/>
          </a:prstGeom>
          <a:solidFill>
            <a:srgbClr val="EECBA1"/>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41" name="VBA_ShearFlow_tinf_g_CLT_Strato_1">
            <a:extLst>
              <a:ext uri="{FF2B5EF4-FFF2-40B4-BE49-F238E27FC236}">
                <a16:creationId xmlns:a16="http://schemas.microsoft.com/office/drawing/2014/main" id="{18E8CBA5-1DB3-ACA6-CB9E-020027F96800}"/>
              </a:ext>
            </a:extLst>
          </xdr:cNvPr>
          <xdr:cNvSpPr/>
        </xdr:nvSpPr>
        <xdr:spPr>
          <a:xfrm>
            <a:off x="222250" y="94294325"/>
            <a:ext cx="508000" cy="82550"/>
          </a:xfrm>
          <a:prstGeom prst="rect">
            <a:avLst/>
          </a:prstGeom>
          <a:solidFill>
            <a:srgbClr val="DEB887"/>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42" name="VBA_ShearFlow_tinf_g_CLT_Tratteggio_1_27">
            <a:extLst>
              <a:ext uri="{FF2B5EF4-FFF2-40B4-BE49-F238E27FC236}">
                <a16:creationId xmlns:a16="http://schemas.microsoft.com/office/drawing/2014/main" id="{3F5E1AC6-D197-CD1F-EECC-B24D890E3A56}"/>
              </a:ext>
            </a:extLst>
          </xdr:cNvPr>
          <xdr:cNvCxnSpPr/>
        </xdr:nvCxnSpPr>
        <xdr:spPr>
          <a:xfrm>
            <a:off x="349250" y="94307025"/>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43" name="VBA_ShearFlow_tinf_g_CLT_Tratteggio_1_37">
            <a:extLst>
              <a:ext uri="{FF2B5EF4-FFF2-40B4-BE49-F238E27FC236}">
                <a16:creationId xmlns:a16="http://schemas.microsoft.com/office/drawing/2014/main" id="{5A1C3BFB-644E-B400-32CA-A04933F88799}"/>
              </a:ext>
            </a:extLst>
          </xdr:cNvPr>
          <xdr:cNvCxnSpPr/>
        </xdr:nvCxnSpPr>
        <xdr:spPr>
          <a:xfrm>
            <a:off x="476250" y="94307025"/>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44" name="VBA_ShearFlow_tinf_g_CLT_Tratteggio_1_47">
            <a:extLst>
              <a:ext uri="{FF2B5EF4-FFF2-40B4-BE49-F238E27FC236}">
                <a16:creationId xmlns:a16="http://schemas.microsoft.com/office/drawing/2014/main" id="{B15326B6-D1DE-98CA-F9DA-854B410BC340}"/>
              </a:ext>
            </a:extLst>
          </xdr:cNvPr>
          <xdr:cNvCxnSpPr/>
        </xdr:nvCxnSpPr>
        <xdr:spPr>
          <a:xfrm>
            <a:off x="603250" y="94307025"/>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45" name="VBA_ShearFlow_tinf_g_Guida_GuidaCLT_1">
            <a:extLst>
              <a:ext uri="{FF2B5EF4-FFF2-40B4-BE49-F238E27FC236}">
                <a16:creationId xmlns:a16="http://schemas.microsoft.com/office/drawing/2014/main" id="{9315A096-0508-4A1C-D3BB-3A061BA70BF2}"/>
              </a:ext>
            </a:extLst>
          </xdr:cNvPr>
          <xdr:cNvCxnSpPr/>
        </xdr:nvCxnSpPr>
        <xdr:spPr>
          <a:xfrm>
            <a:off x="730250" y="94294325"/>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sp macro="" textlink="">
        <xdr:nvSpPr>
          <xdr:cNvPr id="6846" name="VBA_ShearFlow_tinf_g_CLT_Strato_2">
            <a:extLst>
              <a:ext uri="{FF2B5EF4-FFF2-40B4-BE49-F238E27FC236}">
                <a16:creationId xmlns:a16="http://schemas.microsoft.com/office/drawing/2014/main" id="{5009FEFD-6C8B-FBAA-4FE2-3476816750B8}"/>
              </a:ext>
            </a:extLst>
          </xdr:cNvPr>
          <xdr:cNvSpPr/>
        </xdr:nvSpPr>
        <xdr:spPr>
          <a:xfrm>
            <a:off x="222250" y="94376875"/>
            <a:ext cx="508000" cy="123825"/>
          </a:xfrm>
          <a:prstGeom prst="rect">
            <a:avLst/>
          </a:prstGeom>
          <a:solidFill>
            <a:srgbClr val="EECBA1"/>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47" name="VBA_ShearFlow_tinf_g_Guida_GuidaCLT_2">
            <a:extLst>
              <a:ext uri="{FF2B5EF4-FFF2-40B4-BE49-F238E27FC236}">
                <a16:creationId xmlns:a16="http://schemas.microsoft.com/office/drawing/2014/main" id="{50E43A56-FDB5-6625-B868-599689320A8C}"/>
              </a:ext>
            </a:extLst>
          </xdr:cNvPr>
          <xdr:cNvCxnSpPr/>
        </xdr:nvCxnSpPr>
        <xdr:spPr>
          <a:xfrm>
            <a:off x="730250" y="94376875"/>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sp macro="" textlink="">
        <xdr:nvSpPr>
          <xdr:cNvPr id="6848" name="VBA_ShearFlow_tinf_g_CLT_Bordo">
            <a:extLst>
              <a:ext uri="{FF2B5EF4-FFF2-40B4-BE49-F238E27FC236}">
                <a16:creationId xmlns:a16="http://schemas.microsoft.com/office/drawing/2014/main" id="{24A86C73-BE43-659C-E0C1-EE3F1BB01952}"/>
              </a:ext>
            </a:extLst>
          </xdr:cNvPr>
          <xdr:cNvSpPr/>
        </xdr:nvSpPr>
        <xdr:spPr>
          <a:xfrm>
            <a:off x="222250" y="94170500"/>
            <a:ext cx="508000" cy="330200"/>
          </a:xfrm>
          <a:prstGeom prst="rect">
            <a:avLst/>
          </a:prstGeom>
          <a:noFill/>
          <a:ln w="15875" cap="flat" cmpd="sng" algn="ctr">
            <a:solidFill>
              <a:srgbClr val="503C28"/>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51" name="VBA_ShearFlow_tinf_g_Elemento2">
            <a:extLst>
              <a:ext uri="{FF2B5EF4-FFF2-40B4-BE49-F238E27FC236}">
                <a16:creationId xmlns:a16="http://schemas.microsoft.com/office/drawing/2014/main" id="{E9756A51-AD56-326F-37EB-1677566F8A4E}"/>
              </a:ext>
            </a:extLst>
          </xdr:cNvPr>
          <xdr:cNvSpPr/>
        </xdr:nvSpPr>
        <xdr:spPr>
          <a:xfrm>
            <a:off x="222250" y="94500700"/>
            <a:ext cx="508000" cy="1320800"/>
          </a:xfrm>
          <a:prstGeom prst="rect">
            <a:avLst/>
          </a:prstGeom>
          <a:solidFill>
            <a:srgbClr val="C49A6C"/>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52" name="VBA_ShearFlow_tinf_g_Guida_GuidaInterfacciaCLT_GL">
            <a:extLst>
              <a:ext uri="{FF2B5EF4-FFF2-40B4-BE49-F238E27FC236}">
                <a16:creationId xmlns:a16="http://schemas.microsoft.com/office/drawing/2014/main" id="{6BCC17C6-D715-5013-41AE-28EBAD371E46}"/>
              </a:ext>
            </a:extLst>
          </xdr:cNvPr>
          <xdr:cNvCxnSpPr/>
        </xdr:nvCxnSpPr>
        <xdr:spPr>
          <a:xfrm>
            <a:off x="730250" y="94500700"/>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cxnSp macro="">
        <xdr:nvCxnSpPr>
          <xdr:cNvPr id="6853" name="VBA_ShearFlow_tinf_g_GL_L_1">
            <a:extLst>
              <a:ext uri="{FF2B5EF4-FFF2-40B4-BE49-F238E27FC236}">
                <a16:creationId xmlns:a16="http://schemas.microsoft.com/office/drawing/2014/main" id="{39C271CB-7BA2-EE8C-37B5-547B96823DB3}"/>
              </a:ext>
            </a:extLst>
          </xdr:cNvPr>
          <xdr:cNvCxnSpPr/>
        </xdr:nvCxnSpPr>
        <xdr:spPr>
          <a:xfrm>
            <a:off x="222250" y="9466580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54" name="VBA_ShearFlow_tinf_g_GL_L_2">
            <a:extLst>
              <a:ext uri="{FF2B5EF4-FFF2-40B4-BE49-F238E27FC236}">
                <a16:creationId xmlns:a16="http://schemas.microsoft.com/office/drawing/2014/main" id="{438D3135-1794-05C3-8166-496E7FF27BF8}"/>
              </a:ext>
            </a:extLst>
          </xdr:cNvPr>
          <xdr:cNvCxnSpPr/>
        </xdr:nvCxnSpPr>
        <xdr:spPr>
          <a:xfrm>
            <a:off x="222250" y="9483090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55" name="VBA_ShearFlow_tinf_g_GL_L_3">
            <a:extLst>
              <a:ext uri="{FF2B5EF4-FFF2-40B4-BE49-F238E27FC236}">
                <a16:creationId xmlns:a16="http://schemas.microsoft.com/office/drawing/2014/main" id="{A5CAF2B9-3FFB-6197-6275-252B49994639}"/>
              </a:ext>
            </a:extLst>
          </xdr:cNvPr>
          <xdr:cNvCxnSpPr/>
        </xdr:nvCxnSpPr>
        <xdr:spPr>
          <a:xfrm>
            <a:off x="222250" y="9499600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56" name="VBA_ShearFlow_tinf_g_GL_L_4">
            <a:extLst>
              <a:ext uri="{FF2B5EF4-FFF2-40B4-BE49-F238E27FC236}">
                <a16:creationId xmlns:a16="http://schemas.microsoft.com/office/drawing/2014/main" id="{B0C3FBCC-0E93-FA16-3D42-5DE4AEC7A9E4}"/>
              </a:ext>
            </a:extLst>
          </xdr:cNvPr>
          <xdr:cNvCxnSpPr/>
        </xdr:nvCxnSpPr>
        <xdr:spPr>
          <a:xfrm>
            <a:off x="222250" y="9516110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57" name="VBA_ShearFlow_tinf_g_GL_L_5">
            <a:extLst>
              <a:ext uri="{FF2B5EF4-FFF2-40B4-BE49-F238E27FC236}">
                <a16:creationId xmlns:a16="http://schemas.microsoft.com/office/drawing/2014/main" id="{DABBE8E1-4C40-C767-C5D2-9DEC259A9BFE}"/>
              </a:ext>
            </a:extLst>
          </xdr:cNvPr>
          <xdr:cNvCxnSpPr/>
        </xdr:nvCxnSpPr>
        <xdr:spPr>
          <a:xfrm>
            <a:off x="222250" y="9532620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58" name="VBA_ShearFlow_tinf_g_GL_L_6">
            <a:extLst>
              <a:ext uri="{FF2B5EF4-FFF2-40B4-BE49-F238E27FC236}">
                <a16:creationId xmlns:a16="http://schemas.microsoft.com/office/drawing/2014/main" id="{A35A0110-F7E2-8766-51F7-B25250C7EE95}"/>
              </a:ext>
            </a:extLst>
          </xdr:cNvPr>
          <xdr:cNvCxnSpPr/>
        </xdr:nvCxnSpPr>
        <xdr:spPr>
          <a:xfrm>
            <a:off x="222250" y="9549130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59" name="VBA_ShearFlow_tinf_g_GL_L_7">
            <a:extLst>
              <a:ext uri="{FF2B5EF4-FFF2-40B4-BE49-F238E27FC236}">
                <a16:creationId xmlns:a16="http://schemas.microsoft.com/office/drawing/2014/main" id="{6C2421F7-DB6C-D72B-9E36-B89118127638}"/>
              </a:ext>
            </a:extLst>
          </xdr:cNvPr>
          <xdr:cNvCxnSpPr/>
        </xdr:nvCxnSpPr>
        <xdr:spPr>
          <a:xfrm>
            <a:off x="222250" y="9565640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60" name="VBA_ShearFlow_tinf_g_CLT_BordoSx">
            <a:extLst>
              <a:ext uri="{FF2B5EF4-FFF2-40B4-BE49-F238E27FC236}">
                <a16:creationId xmlns:a16="http://schemas.microsoft.com/office/drawing/2014/main" id="{6E042483-7328-6057-58F9-FA7A898BB03C}"/>
              </a:ext>
            </a:extLst>
          </xdr:cNvPr>
          <xdr:cNvCxnSpPr/>
        </xdr:nvCxnSpPr>
        <xdr:spPr>
          <a:xfrm>
            <a:off x="222250" y="94170500"/>
            <a:ext cx="0" cy="330200"/>
          </a:xfrm>
          <a:prstGeom prst="line">
            <a:avLst/>
          </a:prstGeom>
          <a:ln w="22225">
            <a:solidFill>
              <a:srgbClr val="503C28"/>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6861" name="VBA_ShearFlow_tinf_g_Trave_BordoSx">
            <a:extLst>
              <a:ext uri="{FF2B5EF4-FFF2-40B4-BE49-F238E27FC236}">
                <a16:creationId xmlns:a16="http://schemas.microsoft.com/office/drawing/2014/main" id="{DCD71A5A-74FE-4471-CECF-A0DC4163FCD3}"/>
              </a:ext>
            </a:extLst>
          </xdr:cNvPr>
          <xdr:cNvCxnSpPr/>
        </xdr:nvCxnSpPr>
        <xdr:spPr>
          <a:xfrm>
            <a:off x="222250" y="94500700"/>
            <a:ext cx="0" cy="1320800"/>
          </a:xfrm>
          <a:prstGeom prst="line">
            <a:avLst/>
          </a:prstGeom>
          <a:ln w="22225">
            <a:solidFill>
              <a:srgbClr val="785A3C"/>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6862" name="VBA_ShearFlow_tinf_g_Linea_G">
            <a:extLst>
              <a:ext uri="{FF2B5EF4-FFF2-40B4-BE49-F238E27FC236}">
                <a16:creationId xmlns:a16="http://schemas.microsoft.com/office/drawing/2014/main" id="{577D26BB-BB90-14A8-F358-2210853E9EFD}"/>
              </a:ext>
            </a:extLst>
          </xdr:cNvPr>
          <xdr:cNvCxnSpPr/>
        </xdr:nvCxnSpPr>
        <xdr:spPr>
          <a:xfrm>
            <a:off x="222250" y="95024928"/>
            <a:ext cx="2413000"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63" name="VBA_ShearFlow_tinf_g_Label_G">
            <a:extLst>
              <a:ext uri="{FF2B5EF4-FFF2-40B4-BE49-F238E27FC236}">
                <a16:creationId xmlns:a16="http://schemas.microsoft.com/office/drawing/2014/main" id="{B0B570C8-34E5-0A1C-6F0F-74DD8D6F467B}"/>
              </a:ext>
            </a:extLst>
          </xdr:cNvPr>
          <xdr:cNvSpPr txBox="1"/>
        </xdr:nvSpPr>
        <xdr:spPr>
          <a:xfrm>
            <a:off x="0" y="94936028"/>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sp macro="" textlink="">
        <xdr:nvSpPr>
          <xdr:cNvPr id="6864" name="VBA_ShearFlow_tinf_g_CurvaTau">
            <a:extLst>
              <a:ext uri="{FF2B5EF4-FFF2-40B4-BE49-F238E27FC236}">
                <a16:creationId xmlns:a16="http://schemas.microsoft.com/office/drawing/2014/main" id="{83E6EF41-2BBE-5FCE-BA10-539F3B9210A9}"/>
              </a:ext>
            </a:extLst>
          </xdr:cNvPr>
          <xdr:cNvSpPr/>
        </xdr:nvSpPr>
        <xdr:spPr>
          <a:xfrm>
            <a:off x="1492250" y="94170500"/>
            <a:ext cx="1142971" cy="1651001"/>
          </a:xfrm>
          <a:custGeom>
            <a:avLst/>
            <a:gdLst/>
            <a:ahLst/>
            <a:cxnLst/>
            <a:rect l="0" t="0" r="0" b="0"/>
            <a:pathLst>
              <a:path w="1142971" h="1651001">
                <a:moveTo>
                  <a:pt x="0" y="0"/>
                </a:moveTo>
                <a:lnTo>
                  <a:pt x="50278" y="20638"/>
                </a:lnTo>
                <a:lnTo>
                  <a:pt x="99089" y="41275"/>
                </a:lnTo>
                <a:lnTo>
                  <a:pt x="146432" y="61913"/>
                </a:lnTo>
                <a:lnTo>
                  <a:pt x="192307" y="82550"/>
                </a:lnTo>
                <a:lnTo>
                  <a:pt x="236714" y="103188"/>
                </a:lnTo>
                <a:lnTo>
                  <a:pt x="279654" y="123825"/>
                </a:lnTo>
                <a:lnTo>
                  <a:pt x="279654" y="137585"/>
                </a:lnTo>
                <a:lnTo>
                  <a:pt x="279654" y="151340"/>
                </a:lnTo>
                <a:lnTo>
                  <a:pt x="279654" y="165100"/>
                </a:lnTo>
                <a:lnTo>
                  <a:pt x="279654" y="178860"/>
                </a:lnTo>
                <a:lnTo>
                  <a:pt x="279654" y="192615"/>
                </a:lnTo>
                <a:lnTo>
                  <a:pt x="279654" y="206375"/>
                </a:lnTo>
                <a:lnTo>
                  <a:pt x="315256" y="227013"/>
                </a:lnTo>
                <a:lnTo>
                  <a:pt x="349389" y="247650"/>
                </a:lnTo>
                <a:lnTo>
                  <a:pt x="382055" y="268288"/>
                </a:lnTo>
                <a:lnTo>
                  <a:pt x="413253" y="288925"/>
                </a:lnTo>
                <a:lnTo>
                  <a:pt x="442984" y="309563"/>
                </a:lnTo>
                <a:lnTo>
                  <a:pt x="471247" y="330200"/>
                </a:lnTo>
                <a:lnTo>
                  <a:pt x="647965" y="330200"/>
                </a:lnTo>
                <a:lnTo>
                  <a:pt x="764833" y="396242"/>
                </a:lnTo>
                <a:lnTo>
                  <a:pt x="865990" y="462279"/>
                </a:lnTo>
                <a:lnTo>
                  <a:pt x="951434" y="528321"/>
                </a:lnTo>
                <a:lnTo>
                  <a:pt x="1021166" y="594358"/>
                </a:lnTo>
                <a:lnTo>
                  <a:pt x="1075185" y="660400"/>
                </a:lnTo>
                <a:lnTo>
                  <a:pt x="1113492" y="726442"/>
                </a:lnTo>
                <a:lnTo>
                  <a:pt x="1136087" y="792479"/>
                </a:lnTo>
                <a:lnTo>
                  <a:pt x="1142970" y="858521"/>
                </a:lnTo>
                <a:lnTo>
                  <a:pt x="1134140" y="924558"/>
                </a:lnTo>
                <a:lnTo>
                  <a:pt x="1109598" y="990600"/>
                </a:lnTo>
                <a:lnTo>
                  <a:pt x="1069344" y="1056642"/>
                </a:lnTo>
                <a:lnTo>
                  <a:pt x="1013377" y="1122679"/>
                </a:lnTo>
                <a:lnTo>
                  <a:pt x="941698" y="1188721"/>
                </a:lnTo>
                <a:lnTo>
                  <a:pt x="854307" y="1254758"/>
                </a:lnTo>
                <a:lnTo>
                  <a:pt x="751203" y="1320800"/>
                </a:lnTo>
                <a:lnTo>
                  <a:pt x="632387" y="1386842"/>
                </a:lnTo>
                <a:lnTo>
                  <a:pt x="497859" y="1452879"/>
                </a:lnTo>
                <a:lnTo>
                  <a:pt x="347618" y="1518921"/>
                </a:lnTo>
                <a:lnTo>
                  <a:pt x="181665" y="1584958"/>
                </a:lnTo>
                <a:lnTo>
                  <a:pt x="0" y="1651000"/>
                </a:lnTo>
              </a:path>
            </a:pathLst>
          </a:custGeom>
          <a:ln w="19050">
            <a:solidFill>
              <a:srgbClr val="005AAA"/>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it-IT" sz="1100"/>
          </a:p>
        </xdr:txBody>
      </xdr:sp>
      <xdr:cxnSp macro="">
        <xdr:nvCxnSpPr>
          <xdr:cNvPr id="6865" name="VBA_ShearFlow_tinf_g_AsseTau">
            <a:extLst>
              <a:ext uri="{FF2B5EF4-FFF2-40B4-BE49-F238E27FC236}">
                <a16:creationId xmlns:a16="http://schemas.microsoft.com/office/drawing/2014/main" id="{18BCAE53-D1BC-C3DE-DBE4-43CBB5325608}"/>
              </a:ext>
            </a:extLst>
          </xdr:cNvPr>
          <xdr:cNvCxnSpPr/>
        </xdr:nvCxnSpPr>
        <xdr:spPr>
          <a:xfrm>
            <a:off x="1492250" y="94170500"/>
            <a:ext cx="0" cy="1651000"/>
          </a:xfrm>
          <a:prstGeom prst="line">
            <a:avLst/>
          </a:prstGeom>
          <a:ln w="9525">
            <a:solidFill>
              <a:srgbClr val="8C8C8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66" name="VBA_ShearFlow_tinf_g_Marcatore_MaxOrtogonale">
            <a:extLst>
              <a:ext uri="{FF2B5EF4-FFF2-40B4-BE49-F238E27FC236}">
                <a16:creationId xmlns:a16="http://schemas.microsoft.com/office/drawing/2014/main" id="{51B06B5B-0C8D-E0E6-027A-9669B8635F7F}"/>
              </a:ext>
            </a:extLst>
          </xdr:cNvPr>
          <xdr:cNvSpPr/>
        </xdr:nvSpPr>
        <xdr:spPr>
          <a:xfrm>
            <a:off x="1733804" y="94297500"/>
            <a:ext cx="76200" cy="76200"/>
          </a:xfrm>
          <a:prstGeom prst="ellipse">
            <a:avLst/>
          </a:prstGeom>
          <a:solidFill>
            <a:srgbClr val="008C00"/>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67" name="VBA_ShearFlow_tinf_g_MarcatoreLabel_MaxOrtogonale">
            <a:extLst>
              <a:ext uri="{FF2B5EF4-FFF2-40B4-BE49-F238E27FC236}">
                <a16:creationId xmlns:a16="http://schemas.microsoft.com/office/drawing/2014/main" id="{51B5EB48-79E0-B427-0948-FC6AC338FC88}"/>
              </a:ext>
            </a:extLst>
          </xdr:cNvPr>
          <xdr:cNvSpPr txBox="1"/>
        </xdr:nvSpPr>
        <xdr:spPr>
          <a:xfrm>
            <a:off x="1848104" y="94259400"/>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008C00"/>
                </a:solidFill>
                <a:latin typeface="Calibri" panose="020F0502020204030204" pitchFamily="34" charset="0"/>
              </a:rPr>
              <a:t>τ</a:t>
            </a:r>
            <a:r>
              <a:rPr lang="it-IT" sz="750" b="1">
                <a:solidFill>
                  <a:srgbClr val="008C00"/>
                </a:solidFill>
                <a:latin typeface="Calibri" panose="020F0502020204030204" pitchFamily="34" charset="0"/>
              </a:rPr>
              <a:t>rs=0,045 MPa (strato 2)</a:t>
            </a:r>
          </a:p>
        </xdr:txBody>
      </xdr:sp>
      <xdr:sp macro="" textlink="">
        <xdr:nvSpPr>
          <xdr:cNvPr id="6868" name="VBA_ShearFlow_tinf_g_Marcatore_MaxLongitudinale">
            <a:extLst>
              <a:ext uri="{FF2B5EF4-FFF2-40B4-BE49-F238E27FC236}">
                <a16:creationId xmlns:a16="http://schemas.microsoft.com/office/drawing/2014/main" id="{A7AD5D5A-97F3-0088-6540-1DEA56F98BDA}"/>
              </a:ext>
            </a:extLst>
          </xdr:cNvPr>
          <xdr:cNvSpPr/>
        </xdr:nvSpPr>
        <xdr:spPr>
          <a:xfrm>
            <a:off x="1925397" y="94462600"/>
            <a:ext cx="76200" cy="76200"/>
          </a:xfrm>
          <a:prstGeom prst="ellipse">
            <a:avLst/>
          </a:prstGeom>
          <a:solidFill>
            <a:srgbClr val="A05A00"/>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69" name="VBA_ShearFlow_tinf_g_MarcatoreLabel_MaxLongitudinale">
            <a:extLst>
              <a:ext uri="{FF2B5EF4-FFF2-40B4-BE49-F238E27FC236}">
                <a16:creationId xmlns:a16="http://schemas.microsoft.com/office/drawing/2014/main" id="{41EAABC1-62C3-9F74-7A8B-DD8F53B0FF4D}"/>
              </a:ext>
            </a:extLst>
          </xdr:cNvPr>
          <xdr:cNvSpPr txBox="1"/>
        </xdr:nvSpPr>
        <xdr:spPr>
          <a:xfrm>
            <a:off x="2039697" y="94424500"/>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A05A00"/>
                </a:solidFill>
                <a:latin typeface="Calibri" panose="020F0502020204030204" pitchFamily="34" charset="0"/>
              </a:rPr>
              <a:t>τ</a:t>
            </a:r>
            <a:r>
              <a:rPr lang="it-IT" sz="750" b="1">
                <a:solidFill>
                  <a:srgbClr val="A05A00"/>
                </a:solidFill>
                <a:latin typeface="Calibri" panose="020F0502020204030204" pitchFamily="34" charset="0"/>
              </a:rPr>
              <a:t>v,CLT=0,075 MPa (strato 3)</a:t>
            </a:r>
          </a:p>
        </xdr:txBody>
      </xdr:sp>
      <xdr:sp macro="" textlink="">
        <xdr:nvSpPr>
          <xdr:cNvPr id="6870" name="VBA_ShearFlow_tinf_g_Marcatore_MaxTrave">
            <a:extLst>
              <a:ext uri="{FF2B5EF4-FFF2-40B4-BE49-F238E27FC236}">
                <a16:creationId xmlns:a16="http://schemas.microsoft.com/office/drawing/2014/main" id="{82EEF041-7043-DBFE-DDA3-2995F1D6778E}"/>
              </a:ext>
            </a:extLst>
          </xdr:cNvPr>
          <xdr:cNvSpPr/>
        </xdr:nvSpPr>
        <xdr:spPr>
          <a:xfrm>
            <a:off x="2597150" y="94986828"/>
            <a:ext cx="76200" cy="76200"/>
          </a:xfrm>
          <a:prstGeom prst="ellipse">
            <a:avLst/>
          </a:prstGeom>
          <a:solidFill>
            <a:srgbClr val="005AAA"/>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1" name="VBA_ShearFlow_tinf_g_MarcatoreLabel_MaxTrave">
            <a:extLst>
              <a:ext uri="{FF2B5EF4-FFF2-40B4-BE49-F238E27FC236}">
                <a16:creationId xmlns:a16="http://schemas.microsoft.com/office/drawing/2014/main" id="{19C17A80-33C9-3DCE-7D36-94B36700020B}"/>
              </a:ext>
            </a:extLst>
          </xdr:cNvPr>
          <xdr:cNvSpPr txBox="1"/>
        </xdr:nvSpPr>
        <xdr:spPr>
          <a:xfrm>
            <a:off x="2711450" y="94948728"/>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005AAA"/>
                </a:solidFill>
                <a:latin typeface="Calibri" panose="020F0502020204030204" pitchFamily="34" charset="0"/>
              </a:rPr>
              <a:t>τ</a:t>
            </a:r>
            <a:r>
              <a:rPr lang="it-IT" sz="750" b="1">
                <a:solidFill>
                  <a:srgbClr val="005AAA"/>
                </a:solidFill>
                <a:latin typeface="Calibri" panose="020F0502020204030204" pitchFamily="34" charset="0"/>
              </a:rPr>
              <a:t>v,GL=0,182 MPa</a:t>
            </a:r>
          </a:p>
        </xdr:txBody>
      </xdr:sp>
    </xdr:grpSp>
    <xdr:clientData/>
  </xdr:twoCellAnchor>
  <xdr:twoCellAnchor>
    <xdr:from>
      <xdr:col>2</xdr:col>
      <xdr:colOff>200025</xdr:colOff>
      <xdr:row>388</xdr:row>
      <xdr:rowOff>127000</xdr:rowOff>
    </xdr:from>
    <xdr:to>
      <xdr:col>9</xdr:col>
      <xdr:colOff>276225</xdr:colOff>
      <xdr:row>388</xdr:row>
      <xdr:rowOff>1778001</xdr:rowOff>
    </xdr:to>
    <xdr:grpSp>
      <xdr:nvGrpSpPr>
        <xdr:cNvPr id="6903" name="VBA_ShearFlow_tinf_g+q_Group">
          <a:extLst>
            <a:ext uri="{FF2B5EF4-FFF2-40B4-BE49-F238E27FC236}">
              <a16:creationId xmlns:a16="http://schemas.microsoft.com/office/drawing/2014/main" id="{F86652E1-7500-0B90-C6F4-AB1420DFEDFC}"/>
            </a:ext>
          </a:extLst>
        </xdr:cNvPr>
        <xdr:cNvGrpSpPr>
          <a:grpSpLocks/>
        </xdr:cNvGrpSpPr>
      </xdr:nvGrpSpPr>
      <xdr:grpSpPr>
        <a:xfrm>
          <a:off x="1438275" y="105378250"/>
          <a:ext cx="4362450" cy="1651001"/>
          <a:chOff x="0" y="105314750"/>
          <a:chExt cx="4362450" cy="1651001"/>
        </a:xfrm>
      </xdr:grpSpPr>
      <xdr:sp macro="" textlink="">
        <xdr:nvSpPr>
          <xdr:cNvPr id="6873" name="VBA_ShearFlow_tinf_g+q_CLT_Strato_0">
            <a:extLst>
              <a:ext uri="{FF2B5EF4-FFF2-40B4-BE49-F238E27FC236}">
                <a16:creationId xmlns:a16="http://schemas.microsoft.com/office/drawing/2014/main" id="{529385E3-2635-CE81-806B-4C048E09C8E0}"/>
              </a:ext>
            </a:extLst>
          </xdr:cNvPr>
          <xdr:cNvSpPr/>
        </xdr:nvSpPr>
        <xdr:spPr>
          <a:xfrm>
            <a:off x="222250" y="105314750"/>
            <a:ext cx="508000" cy="123825"/>
          </a:xfrm>
          <a:prstGeom prst="rect">
            <a:avLst/>
          </a:prstGeom>
          <a:solidFill>
            <a:srgbClr val="EECBA1"/>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4" name="VBA_ShearFlow_tinf_g+q_CLT_Strato_1">
            <a:extLst>
              <a:ext uri="{FF2B5EF4-FFF2-40B4-BE49-F238E27FC236}">
                <a16:creationId xmlns:a16="http://schemas.microsoft.com/office/drawing/2014/main" id="{239D9429-3856-5235-BD4E-B4F8D3D74B24}"/>
              </a:ext>
            </a:extLst>
          </xdr:cNvPr>
          <xdr:cNvSpPr/>
        </xdr:nvSpPr>
        <xdr:spPr>
          <a:xfrm>
            <a:off x="222250" y="105438575"/>
            <a:ext cx="508000" cy="82550"/>
          </a:xfrm>
          <a:prstGeom prst="rect">
            <a:avLst/>
          </a:prstGeom>
          <a:solidFill>
            <a:srgbClr val="DEB887"/>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75" name="VBA_ShearFlow_tinf_g+q_CLT_Tratteggio_1_27">
            <a:extLst>
              <a:ext uri="{FF2B5EF4-FFF2-40B4-BE49-F238E27FC236}">
                <a16:creationId xmlns:a16="http://schemas.microsoft.com/office/drawing/2014/main" id="{4B9DD548-92FB-50D1-6A46-7D146CA90D55}"/>
              </a:ext>
            </a:extLst>
          </xdr:cNvPr>
          <xdr:cNvCxnSpPr/>
        </xdr:nvCxnSpPr>
        <xdr:spPr>
          <a:xfrm>
            <a:off x="349250" y="105451275"/>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76" name="VBA_ShearFlow_tinf_g+q_CLT_Tratteggio_1_37">
            <a:extLst>
              <a:ext uri="{FF2B5EF4-FFF2-40B4-BE49-F238E27FC236}">
                <a16:creationId xmlns:a16="http://schemas.microsoft.com/office/drawing/2014/main" id="{07F8B3DC-5A64-6CCB-EF37-C4582162EE97}"/>
              </a:ext>
            </a:extLst>
          </xdr:cNvPr>
          <xdr:cNvCxnSpPr/>
        </xdr:nvCxnSpPr>
        <xdr:spPr>
          <a:xfrm>
            <a:off x="476250" y="105451275"/>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77" name="VBA_ShearFlow_tinf_g+q_CLT_Tratteggio_1_47">
            <a:extLst>
              <a:ext uri="{FF2B5EF4-FFF2-40B4-BE49-F238E27FC236}">
                <a16:creationId xmlns:a16="http://schemas.microsoft.com/office/drawing/2014/main" id="{74B86C77-0B1F-1E88-A402-BC0EEFB27E27}"/>
              </a:ext>
            </a:extLst>
          </xdr:cNvPr>
          <xdr:cNvCxnSpPr/>
        </xdr:nvCxnSpPr>
        <xdr:spPr>
          <a:xfrm>
            <a:off x="603250" y="105451275"/>
            <a:ext cx="0" cy="57150"/>
          </a:xfrm>
          <a:prstGeom prst="line">
            <a:avLst/>
          </a:prstGeom>
          <a:ln w="508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78" name="VBA_ShearFlow_tinf_g+q_Guida_GuidaCLT_1">
            <a:extLst>
              <a:ext uri="{FF2B5EF4-FFF2-40B4-BE49-F238E27FC236}">
                <a16:creationId xmlns:a16="http://schemas.microsoft.com/office/drawing/2014/main" id="{E4DC79D2-4D1E-DD8F-5417-B33DEA345D51}"/>
              </a:ext>
            </a:extLst>
          </xdr:cNvPr>
          <xdr:cNvCxnSpPr/>
        </xdr:nvCxnSpPr>
        <xdr:spPr>
          <a:xfrm>
            <a:off x="730250" y="105438575"/>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sp macro="" textlink="">
        <xdr:nvSpPr>
          <xdr:cNvPr id="6879" name="VBA_ShearFlow_tinf_g+q_CLT_Strato_2">
            <a:extLst>
              <a:ext uri="{FF2B5EF4-FFF2-40B4-BE49-F238E27FC236}">
                <a16:creationId xmlns:a16="http://schemas.microsoft.com/office/drawing/2014/main" id="{F0059147-D8CB-0FB8-A043-2805F622968F}"/>
              </a:ext>
            </a:extLst>
          </xdr:cNvPr>
          <xdr:cNvSpPr/>
        </xdr:nvSpPr>
        <xdr:spPr>
          <a:xfrm>
            <a:off x="222250" y="105521125"/>
            <a:ext cx="508000" cy="123825"/>
          </a:xfrm>
          <a:prstGeom prst="rect">
            <a:avLst/>
          </a:prstGeom>
          <a:solidFill>
            <a:srgbClr val="EECBA1"/>
          </a:solidFill>
          <a:ln w="635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80" name="VBA_ShearFlow_tinf_g+q_Guida_GuidaCLT_2">
            <a:extLst>
              <a:ext uri="{FF2B5EF4-FFF2-40B4-BE49-F238E27FC236}">
                <a16:creationId xmlns:a16="http://schemas.microsoft.com/office/drawing/2014/main" id="{3C190913-FED8-6FF4-AD89-BA83955A32DE}"/>
              </a:ext>
            </a:extLst>
          </xdr:cNvPr>
          <xdr:cNvCxnSpPr/>
        </xdr:nvCxnSpPr>
        <xdr:spPr>
          <a:xfrm>
            <a:off x="730250" y="105521125"/>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sp macro="" textlink="">
        <xdr:nvSpPr>
          <xdr:cNvPr id="6881" name="VBA_ShearFlow_tinf_g+q_CLT_Bordo">
            <a:extLst>
              <a:ext uri="{FF2B5EF4-FFF2-40B4-BE49-F238E27FC236}">
                <a16:creationId xmlns:a16="http://schemas.microsoft.com/office/drawing/2014/main" id="{3B9DBEFC-4A32-F397-CD1B-C9F8CCDACBB7}"/>
              </a:ext>
            </a:extLst>
          </xdr:cNvPr>
          <xdr:cNvSpPr/>
        </xdr:nvSpPr>
        <xdr:spPr>
          <a:xfrm>
            <a:off x="222250" y="105314750"/>
            <a:ext cx="508000" cy="330200"/>
          </a:xfrm>
          <a:prstGeom prst="rect">
            <a:avLst/>
          </a:prstGeom>
          <a:noFill/>
          <a:ln w="15875" cap="flat" cmpd="sng" algn="ctr">
            <a:solidFill>
              <a:srgbClr val="503C28"/>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82" name="VBA_ShearFlow_tinf_g+q_Elemento2">
            <a:extLst>
              <a:ext uri="{FF2B5EF4-FFF2-40B4-BE49-F238E27FC236}">
                <a16:creationId xmlns:a16="http://schemas.microsoft.com/office/drawing/2014/main" id="{71F2DDF0-AF1D-3EFF-5C8F-32671B35F304}"/>
              </a:ext>
            </a:extLst>
          </xdr:cNvPr>
          <xdr:cNvSpPr/>
        </xdr:nvSpPr>
        <xdr:spPr>
          <a:xfrm>
            <a:off x="222250" y="105644950"/>
            <a:ext cx="508000" cy="1320800"/>
          </a:xfrm>
          <a:prstGeom prst="rect">
            <a:avLst/>
          </a:prstGeom>
          <a:solidFill>
            <a:srgbClr val="C49A6C"/>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83" name="VBA_ShearFlow_tinf_g+q_Guida_GuidaInterfacciaCLT_GL">
            <a:extLst>
              <a:ext uri="{FF2B5EF4-FFF2-40B4-BE49-F238E27FC236}">
                <a16:creationId xmlns:a16="http://schemas.microsoft.com/office/drawing/2014/main" id="{5AAEBFC8-39FB-A1B6-8E94-382D43CFE2DB}"/>
              </a:ext>
            </a:extLst>
          </xdr:cNvPr>
          <xdr:cNvCxnSpPr/>
        </xdr:nvCxnSpPr>
        <xdr:spPr>
          <a:xfrm>
            <a:off x="730250" y="105644950"/>
            <a:ext cx="1968500" cy="0"/>
          </a:xfrm>
          <a:prstGeom prst="line">
            <a:avLst/>
          </a:prstGeom>
          <a:ln w="6350">
            <a:solidFill>
              <a:srgbClr val="BEBEBE"/>
            </a:solidFill>
          </a:ln>
        </xdr:spPr>
        <xdr:style>
          <a:lnRef idx="1">
            <a:schemeClr val="accent1"/>
          </a:lnRef>
          <a:fillRef idx="0">
            <a:schemeClr val="accent1"/>
          </a:fillRef>
          <a:effectRef idx="0">
            <a:schemeClr val="accent1"/>
          </a:effectRef>
          <a:fontRef idx="minor">
            <a:schemeClr val="tx1"/>
          </a:fontRef>
        </xdr:style>
      </xdr:cxnSp>
      <xdr:cxnSp macro="">
        <xdr:nvCxnSpPr>
          <xdr:cNvPr id="6884" name="VBA_ShearFlow_tinf_g+q_GL_L_1">
            <a:extLst>
              <a:ext uri="{FF2B5EF4-FFF2-40B4-BE49-F238E27FC236}">
                <a16:creationId xmlns:a16="http://schemas.microsoft.com/office/drawing/2014/main" id="{2A985F85-9096-7190-3819-7B2EE3385E5E}"/>
              </a:ext>
            </a:extLst>
          </xdr:cNvPr>
          <xdr:cNvCxnSpPr/>
        </xdr:nvCxnSpPr>
        <xdr:spPr>
          <a:xfrm>
            <a:off x="222250" y="10581005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85" name="VBA_ShearFlow_tinf_g+q_GL_L_2">
            <a:extLst>
              <a:ext uri="{FF2B5EF4-FFF2-40B4-BE49-F238E27FC236}">
                <a16:creationId xmlns:a16="http://schemas.microsoft.com/office/drawing/2014/main" id="{349B028F-286E-0876-ECB2-AD2B86877319}"/>
              </a:ext>
            </a:extLst>
          </xdr:cNvPr>
          <xdr:cNvCxnSpPr/>
        </xdr:nvCxnSpPr>
        <xdr:spPr>
          <a:xfrm>
            <a:off x="222250" y="10597515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86" name="VBA_ShearFlow_tinf_g+q_GL_L_3">
            <a:extLst>
              <a:ext uri="{FF2B5EF4-FFF2-40B4-BE49-F238E27FC236}">
                <a16:creationId xmlns:a16="http://schemas.microsoft.com/office/drawing/2014/main" id="{A3D5E33E-BE1C-DD83-5A82-4101AB8D4DC3}"/>
              </a:ext>
            </a:extLst>
          </xdr:cNvPr>
          <xdr:cNvCxnSpPr/>
        </xdr:nvCxnSpPr>
        <xdr:spPr>
          <a:xfrm>
            <a:off x="222250" y="10614025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87" name="VBA_ShearFlow_tinf_g+q_GL_L_4">
            <a:extLst>
              <a:ext uri="{FF2B5EF4-FFF2-40B4-BE49-F238E27FC236}">
                <a16:creationId xmlns:a16="http://schemas.microsoft.com/office/drawing/2014/main" id="{630CC158-BB4F-DE2B-E876-1F4AFBBF07C3}"/>
              </a:ext>
            </a:extLst>
          </xdr:cNvPr>
          <xdr:cNvCxnSpPr/>
        </xdr:nvCxnSpPr>
        <xdr:spPr>
          <a:xfrm>
            <a:off x="222250" y="10630535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88" name="VBA_ShearFlow_tinf_g+q_GL_L_5">
            <a:extLst>
              <a:ext uri="{FF2B5EF4-FFF2-40B4-BE49-F238E27FC236}">
                <a16:creationId xmlns:a16="http://schemas.microsoft.com/office/drawing/2014/main" id="{235778A6-A16D-A7EC-8F76-DADDE768E48C}"/>
              </a:ext>
            </a:extLst>
          </xdr:cNvPr>
          <xdr:cNvCxnSpPr/>
        </xdr:nvCxnSpPr>
        <xdr:spPr>
          <a:xfrm>
            <a:off x="222250" y="10647045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89" name="VBA_ShearFlow_tinf_g+q_GL_L_6">
            <a:extLst>
              <a:ext uri="{FF2B5EF4-FFF2-40B4-BE49-F238E27FC236}">
                <a16:creationId xmlns:a16="http://schemas.microsoft.com/office/drawing/2014/main" id="{48BBBFA4-C6C4-0B54-225E-B72B1F1BC4FD}"/>
              </a:ext>
            </a:extLst>
          </xdr:cNvPr>
          <xdr:cNvCxnSpPr/>
        </xdr:nvCxnSpPr>
        <xdr:spPr>
          <a:xfrm>
            <a:off x="222250" y="10663555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90" name="VBA_ShearFlow_tinf_g+q_GL_L_7">
            <a:extLst>
              <a:ext uri="{FF2B5EF4-FFF2-40B4-BE49-F238E27FC236}">
                <a16:creationId xmlns:a16="http://schemas.microsoft.com/office/drawing/2014/main" id="{499A3E8D-EE03-C615-F351-C74537B7568C}"/>
              </a:ext>
            </a:extLst>
          </xdr:cNvPr>
          <xdr:cNvCxnSpPr/>
        </xdr:nvCxnSpPr>
        <xdr:spPr>
          <a:xfrm>
            <a:off x="222250" y="106800650"/>
            <a:ext cx="508000"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91" name="VBA_ShearFlow_tinf_g+q_CLT_BordoSx">
            <a:extLst>
              <a:ext uri="{FF2B5EF4-FFF2-40B4-BE49-F238E27FC236}">
                <a16:creationId xmlns:a16="http://schemas.microsoft.com/office/drawing/2014/main" id="{AB387AB5-CB83-2070-DA52-76B684651103}"/>
              </a:ext>
            </a:extLst>
          </xdr:cNvPr>
          <xdr:cNvCxnSpPr/>
        </xdr:nvCxnSpPr>
        <xdr:spPr>
          <a:xfrm>
            <a:off x="222250" y="105314750"/>
            <a:ext cx="0" cy="330200"/>
          </a:xfrm>
          <a:prstGeom prst="line">
            <a:avLst/>
          </a:prstGeom>
          <a:ln w="22225">
            <a:solidFill>
              <a:srgbClr val="503C28"/>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6892" name="VBA_ShearFlow_tinf_g+q_Trave_BordoSx">
            <a:extLst>
              <a:ext uri="{FF2B5EF4-FFF2-40B4-BE49-F238E27FC236}">
                <a16:creationId xmlns:a16="http://schemas.microsoft.com/office/drawing/2014/main" id="{74093E39-DFAD-B263-3C61-B230F377CEF8}"/>
              </a:ext>
            </a:extLst>
          </xdr:cNvPr>
          <xdr:cNvCxnSpPr/>
        </xdr:nvCxnSpPr>
        <xdr:spPr>
          <a:xfrm>
            <a:off x="222250" y="105644950"/>
            <a:ext cx="0" cy="1320800"/>
          </a:xfrm>
          <a:prstGeom prst="line">
            <a:avLst/>
          </a:prstGeom>
          <a:ln w="22225">
            <a:solidFill>
              <a:srgbClr val="785A3C"/>
            </a:solidFill>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6893" name="VBA_ShearFlow_tinf_g+q_Linea_G">
            <a:extLst>
              <a:ext uri="{FF2B5EF4-FFF2-40B4-BE49-F238E27FC236}">
                <a16:creationId xmlns:a16="http://schemas.microsoft.com/office/drawing/2014/main" id="{F0F72BF1-B696-FFF8-F866-71AB763CF733}"/>
              </a:ext>
            </a:extLst>
          </xdr:cNvPr>
          <xdr:cNvCxnSpPr/>
        </xdr:nvCxnSpPr>
        <xdr:spPr>
          <a:xfrm>
            <a:off x="222250" y="106169172"/>
            <a:ext cx="2413000"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94" name="VBA_ShearFlow_tinf_g+q_Label_G">
            <a:extLst>
              <a:ext uri="{FF2B5EF4-FFF2-40B4-BE49-F238E27FC236}">
                <a16:creationId xmlns:a16="http://schemas.microsoft.com/office/drawing/2014/main" id="{2DDDF77C-8B67-F859-6E4D-494AA520B92D}"/>
              </a:ext>
            </a:extLst>
          </xdr:cNvPr>
          <xdr:cNvSpPr txBox="1"/>
        </xdr:nvSpPr>
        <xdr:spPr>
          <a:xfrm>
            <a:off x="0" y="106080272"/>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sp macro="" textlink="">
        <xdr:nvSpPr>
          <xdr:cNvPr id="6895" name="VBA_ShearFlow_tinf_g+q_CurvaTau">
            <a:extLst>
              <a:ext uri="{FF2B5EF4-FFF2-40B4-BE49-F238E27FC236}">
                <a16:creationId xmlns:a16="http://schemas.microsoft.com/office/drawing/2014/main" id="{6B0409C0-0C78-F507-64A3-43831E5DAE49}"/>
              </a:ext>
            </a:extLst>
          </xdr:cNvPr>
          <xdr:cNvSpPr/>
        </xdr:nvSpPr>
        <xdr:spPr>
          <a:xfrm>
            <a:off x="1492250" y="105314750"/>
            <a:ext cx="1142971" cy="1651001"/>
          </a:xfrm>
          <a:custGeom>
            <a:avLst/>
            <a:gdLst/>
            <a:ahLst/>
            <a:cxnLst/>
            <a:rect l="0" t="0" r="0" b="0"/>
            <a:pathLst>
              <a:path w="1142971" h="1651001">
                <a:moveTo>
                  <a:pt x="0" y="0"/>
                </a:moveTo>
                <a:lnTo>
                  <a:pt x="50278" y="20638"/>
                </a:lnTo>
                <a:lnTo>
                  <a:pt x="99089" y="41275"/>
                </a:lnTo>
                <a:lnTo>
                  <a:pt x="146432" y="61913"/>
                </a:lnTo>
                <a:lnTo>
                  <a:pt x="192307" y="82550"/>
                </a:lnTo>
                <a:lnTo>
                  <a:pt x="236714" y="103188"/>
                </a:lnTo>
                <a:lnTo>
                  <a:pt x="279654" y="123825"/>
                </a:lnTo>
                <a:lnTo>
                  <a:pt x="279654" y="137579"/>
                </a:lnTo>
                <a:lnTo>
                  <a:pt x="279654" y="151346"/>
                </a:lnTo>
                <a:lnTo>
                  <a:pt x="279654" y="165100"/>
                </a:lnTo>
                <a:lnTo>
                  <a:pt x="279654" y="178854"/>
                </a:lnTo>
                <a:lnTo>
                  <a:pt x="279654" y="192621"/>
                </a:lnTo>
                <a:lnTo>
                  <a:pt x="279654" y="206375"/>
                </a:lnTo>
                <a:lnTo>
                  <a:pt x="315256" y="227013"/>
                </a:lnTo>
                <a:lnTo>
                  <a:pt x="349389" y="247650"/>
                </a:lnTo>
                <a:lnTo>
                  <a:pt x="382055" y="268288"/>
                </a:lnTo>
                <a:lnTo>
                  <a:pt x="413253" y="288925"/>
                </a:lnTo>
                <a:lnTo>
                  <a:pt x="442984" y="309563"/>
                </a:lnTo>
                <a:lnTo>
                  <a:pt x="471247" y="330200"/>
                </a:lnTo>
                <a:lnTo>
                  <a:pt x="647965" y="330200"/>
                </a:lnTo>
                <a:lnTo>
                  <a:pt x="764833" y="396242"/>
                </a:lnTo>
                <a:lnTo>
                  <a:pt x="865990" y="462285"/>
                </a:lnTo>
                <a:lnTo>
                  <a:pt x="951434" y="528315"/>
                </a:lnTo>
                <a:lnTo>
                  <a:pt x="1021166" y="594358"/>
                </a:lnTo>
                <a:lnTo>
                  <a:pt x="1075185" y="660400"/>
                </a:lnTo>
                <a:lnTo>
                  <a:pt x="1113492" y="726442"/>
                </a:lnTo>
                <a:lnTo>
                  <a:pt x="1136087" y="792485"/>
                </a:lnTo>
                <a:lnTo>
                  <a:pt x="1142970" y="858515"/>
                </a:lnTo>
                <a:lnTo>
                  <a:pt x="1134140" y="924558"/>
                </a:lnTo>
                <a:lnTo>
                  <a:pt x="1109598" y="990600"/>
                </a:lnTo>
                <a:lnTo>
                  <a:pt x="1069344" y="1056642"/>
                </a:lnTo>
                <a:lnTo>
                  <a:pt x="1013377" y="1122685"/>
                </a:lnTo>
                <a:lnTo>
                  <a:pt x="941698" y="1188715"/>
                </a:lnTo>
                <a:lnTo>
                  <a:pt x="854307" y="1254758"/>
                </a:lnTo>
                <a:lnTo>
                  <a:pt x="751203" y="1320800"/>
                </a:lnTo>
                <a:lnTo>
                  <a:pt x="632387" y="1386842"/>
                </a:lnTo>
                <a:lnTo>
                  <a:pt x="497859" y="1452885"/>
                </a:lnTo>
                <a:lnTo>
                  <a:pt x="347618" y="1518915"/>
                </a:lnTo>
                <a:lnTo>
                  <a:pt x="181665" y="1584958"/>
                </a:lnTo>
                <a:lnTo>
                  <a:pt x="0" y="1651000"/>
                </a:lnTo>
              </a:path>
            </a:pathLst>
          </a:custGeom>
          <a:ln w="19050">
            <a:solidFill>
              <a:srgbClr val="005AAA"/>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it-IT" sz="1100"/>
          </a:p>
        </xdr:txBody>
      </xdr:sp>
      <xdr:cxnSp macro="">
        <xdr:nvCxnSpPr>
          <xdr:cNvPr id="6896" name="VBA_ShearFlow_tinf_g+q_AsseTau">
            <a:extLst>
              <a:ext uri="{FF2B5EF4-FFF2-40B4-BE49-F238E27FC236}">
                <a16:creationId xmlns:a16="http://schemas.microsoft.com/office/drawing/2014/main" id="{36A6D283-C84C-6C5F-A7C6-52705CA41604}"/>
              </a:ext>
            </a:extLst>
          </xdr:cNvPr>
          <xdr:cNvCxnSpPr/>
        </xdr:nvCxnSpPr>
        <xdr:spPr>
          <a:xfrm>
            <a:off x="1492250" y="105314750"/>
            <a:ext cx="0" cy="1651000"/>
          </a:xfrm>
          <a:prstGeom prst="line">
            <a:avLst/>
          </a:prstGeom>
          <a:ln w="9525">
            <a:solidFill>
              <a:srgbClr val="8C8C8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97" name="VBA_ShearFlow_tinf_g+q_Marcatore_MaxOrtogonale">
            <a:extLst>
              <a:ext uri="{FF2B5EF4-FFF2-40B4-BE49-F238E27FC236}">
                <a16:creationId xmlns:a16="http://schemas.microsoft.com/office/drawing/2014/main" id="{4933891B-CD22-0062-EA62-1DEB7AA01B43}"/>
              </a:ext>
            </a:extLst>
          </xdr:cNvPr>
          <xdr:cNvSpPr/>
        </xdr:nvSpPr>
        <xdr:spPr>
          <a:xfrm>
            <a:off x="1733804" y="105441750"/>
            <a:ext cx="76200" cy="76200"/>
          </a:xfrm>
          <a:prstGeom prst="ellipse">
            <a:avLst/>
          </a:prstGeom>
          <a:solidFill>
            <a:srgbClr val="008C00"/>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98" name="VBA_ShearFlow_tinf_g+q_MarcatoreLabel_MaxOrtogonale">
            <a:extLst>
              <a:ext uri="{FF2B5EF4-FFF2-40B4-BE49-F238E27FC236}">
                <a16:creationId xmlns:a16="http://schemas.microsoft.com/office/drawing/2014/main" id="{59438BA7-3BE5-1D58-B85F-A3C0538D1B83}"/>
              </a:ext>
            </a:extLst>
          </xdr:cNvPr>
          <xdr:cNvSpPr txBox="1"/>
        </xdr:nvSpPr>
        <xdr:spPr>
          <a:xfrm>
            <a:off x="1848104" y="105403650"/>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008C00"/>
                </a:solidFill>
                <a:latin typeface="Calibri" panose="020F0502020204030204" pitchFamily="34" charset="0"/>
              </a:rPr>
              <a:t>τ</a:t>
            </a:r>
            <a:r>
              <a:rPr lang="it-IT" sz="750" b="1">
                <a:solidFill>
                  <a:srgbClr val="008C00"/>
                </a:solidFill>
                <a:latin typeface="Calibri" panose="020F0502020204030204" pitchFamily="34" charset="0"/>
              </a:rPr>
              <a:t>rs=0,076 MPa (strato 2)</a:t>
            </a:r>
          </a:p>
        </xdr:txBody>
      </xdr:sp>
      <xdr:sp macro="" textlink="">
        <xdr:nvSpPr>
          <xdr:cNvPr id="6899" name="VBA_ShearFlow_tinf_g+q_Marcatore_MaxLongitudinale">
            <a:extLst>
              <a:ext uri="{FF2B5EF4-FFF2-40B4-BE49-F238E27FC236}">
                <a16:creationId xmlns:a16="http://schemas.microsoft.com/office/drawing/2014/main" id="{DC323EA4-AC9D-7E8C-CC4B-50FA1E4A8BFC}"/>
              </a:ext>
            </a:extLst>
          </xdr:cNvPr>
          <xdr:cNvSpPr/>
        </xdr:nvSpPr>
        <xdr:spPr>
          <a:xfrm>
            <a:off x="1925397" y="105606850"/>
            <a:ext cx="76200" cy="76200"/>
          </a:xfrm>
          <a:prstGeom prst="ellipse">
            <a:avLst/>
          </a:prstGeom>
          <a:solidFill>
            <a:srgbClr val="A05A00"/>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900" name="VBA_ShearFlow_tinf_g+q_MarcatoreLabel_MaxLongitudinale">
            <a:extLst>
              <a:ext uri="{FF2B5EF4-FFF2-40B4-BE49-F238E27FC236}">
                <a16:creationId xmlns:a16="http://schemas.microsoft.com/office/drawing/2014/main" id="{AB5B1569-F6C8-7354-D90B-786F1FFF8F63}"/>
              </a:ext>
            </a:extLst>
          </xdr:cNvPr>
          <xdr:cNvSpPr txBox="1"/>
        </xdr:nvSpPr>
        <xdr:spPr>
          <a:xfrm>
            <a:off x="2039697" y="105568750"/>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A05A00"/>
                </a:solidFill>
                <a:latin typeface="Calibri" panose="020F0502020204030204" pitchFamily="34" charset="0"/>
              </a:rPr>
              <a:t>τ</a:t>
            </a:r>
            <a:r>
              <a:rPr lang="it-IT" sz="750" b="1">
                <a:solidFill>
                  <a:srgbClr val="A05A00"/>
                </a:solidFill>
                <a:latin typeface="Calibri" panose="020F0502020204030204" pitchFamily="34" charset="0"/>
              </a:rPr>
              <a:t>v,CLT=0,128 MPa (strato 3)</a:t>
            </a:r>
          </a:p>
        </xdr:txBody>
      </xdr:sp>
      <xdr:sp macro="" textlink="">
        <xdr:nvSpPr>
          <xdr:cNvPr id="6901" name="VBA_ShearFlow_tinf_g+q_Marcatore_MaxTrave">
            <a:extLst>
              <a:ext uri="{FF2B5EF4-FFF2-40B4-BE49-F238E27FC236}">
                <a16:creationId xmlns:a16="http://schemas.microsoft.com/office/drawing/2014/main" id="{C53E06F6-A041-88ED-5437-B7E2BAE3779E}"/>
              </a:ext>
            </a:extLst>
          </xdr:cNvPr>
          <xdr:cNvSpPr/>
        </xdr:nvSpPr>
        <xdr:spPr>
          <a:xfrm>
            <a:off x="2597150" y="106131072"/>
            <a:ext cx="76200" cy="76200"/>
          </a:xfrm>
          <a:prstGeom prst="ellipse">
            <a:avLst/>
          </a:prstGeom>
          <a:solidFill>
            <a:srgbClr val="005AAA"/>
          </a:solidFill>
          <a:ln w="9525">
            <a:solidFill>
              <a:srgbClr val="FF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902" name="VBA_ShearFlow_tinf_g+q_MarcatoreLabel_MaxTrave">
            <a:extLst>
              <a:ext uri="{FF2B5EF4-FFF2-40B4-BE49-F238E27FC236}">
                <a16:creationId xmlns:a16="http://schemas.microsoft.com/office/drawing/2014/main" id="{19929C84-95CC-6588-6359-1D2E8387048C}"/>
              </a:ext>
            </a:extLst>
          </xdr:cNvPr>
          <xdr:cNvSpPr txBox="1"/>
        </xdr:nvSpPr>
        <xdr:spPr>
          <a:xfrm>
            <a:off x="2711450" y="106092972"/>
            <a:ext cx="1651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el-GR" sz="750" b="1">
                <a:solidFill>
                  <a:srgbClr val="005AAA"/>
                </a:solidFill>
                <a:latin typeface="Calibri" panose="020F0502020204030204" pitchFamily="34" charset="0"/>
              </a:rPr>
              <a:t>τ</a:t>
            </a:r>
            <a:r>
              <a:rPr lang="it-IT" sz="750" b="1">
                <a:solidFill>
                  <a:srgbClr val="005AAA"/>
                </a:solidFill>
                <a:latin typeface="Calibri" panose="020F0502020204030204" pitchFamily="34" charset="0"/>
              </a:rPr>
              <a:t>v,GL=0,310 MPa</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73270</xdr:colOff>
      <xdr:row>22</xdr:row>
      <xdr:rowOff>86713</xdr:rowOff>
    </xdr:from>
    <xdr:to>
      <xdr:col>5</xdr:col>
      <xdr:colOff>677411</xdr:colOff>
      <xdr:row>27</xdr:row>
      <xdr:rowOff>111436</xdr:rowOff>
    </xdr:to>
    <xdr:pic>
      <xdr:nvPicPr>
        <xdr:cNvPr id="2" name="Grafik 1" descr="Bildschirmausschnitt">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70" y="4411063"/>
          <a:ext cx="4379851" cy="963888"/>
        </a:xfrm>
        <a:prstGeom prst="rect">
          <a:avLst/>
        </a:prstGeom>
      </xdr:spPr>
    </xdr:pic>
    <xdr:clientData/>
  </xdr:twoCellAnchor>
  <xdr:twoCellAnchor editAs="oneCell">
    <xdr:from>
      <xdr:col>11</xdr:col>
      <xdr:colOff>537796</xdr:colOff>
      <xdr:row>23</xdr:row>
      <xdr:rowOff>180242</xdr:rowOff>
    </xdr:from>
    <xdr:to>
      <xdr:col>36</xdr:col>
      <xdr:colOff>552555</xdr:colOff>
      <xdr:row>35</xdr:row>
      <xdr:rowOff>2380</xdr:rowOff>
    </xdr:to>
    <xdr:pic>
      <xdr:nvPicPr>
        <xdr:cNvPr id="3" name="Grafik 2" descr="Bildschirmausschnitt">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14996" y="4695092"/>
          <a:ext cx="8987309" cy="2184338"/>
        </a:xfrm>
        <a:prstGeom prst="rect">
          <a:avLst/>
        </a:prstGeom>
      </xdr:spPr>
    </xdr:pic>
    <xdr:clientData/>
  </xdr:twoCellAnchor>
  <xdr:twoCellAnchor editAs="oneCell">
    <xdr:from>
      <xdr:col>36</xdr:col>
      <xdr:colOff>541020</xdr:colOff>
      <xdr:row>6</xdr:row>
      <xdr:rowOff>182880</xdr:rowOff>
    </xdr:from>
    <xdr:to>
      <xdr:col>41</xdr:col>
      <xdr:colOff>267955</xdr:colOff>
      <xdr:row>20</xdr:row>
      <xdr:rowOff>41482</xdr:rowOff>
    </xdr:to>
    <xdr:pic>
      <xdr:nvPicPr>
        <xdr:cNvPr id="4" name="Immagin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8867120" y="1485900"/>
          <a:ext cx="3576940" cy="26322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15</xdr:row>
      <xdr:rowOff>0</xdr:rowOff>
    </xdr:from>
    <xdr:to>
      <xdr:col>7</xdr:col>
      <xdr:colOff>0</xdr:colOff>
      <xdr:row>26</xdr:row>
      <xdr:rowOff>39732</xdr:rowOff>
    </xdr:to>
    <xdr:pic>
      <xdr:nvPicPr>
        <xdr:cNvPr id="2" name="Immagin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019300" y="3267075"/>
          <a:ext cx="3009900" cy="2146662"/>
        </a:xfrm>
        <a:prstGeom prst="rect">
          <a:avLst/>
        </a:prstGeom>
      </xdr:spPr>
    </xdr:pic>
    <xdr:clientData/>
  </xdr:twoCellAnchor>
  <xdr:twoCellAnchor editAs="oneCell">
    <xdr:from>
      <xdr:col>9</xdr:col>
      <xdr:colOff>1</xdr:colOff>
      <xdr:row>3</xdr:row>
      <xdr:rowOff>220980</xdr:rowOff>
    </xdr:from>
    <xdr:to>
      <xdr:col>19</xdr:col>
      <xdr:colOff>1</xdr:colOff>
      <xdr:row>24</xdr:row>
      <xdr:rowOff>119683</xdr:rowOff>
    </xdr:to>
    <xdr:pic>
      <xdr:nvPicPr>
        <xdr:cNvPr id="3" name="Immagin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6004561" y="822960"/>
          <a:ext cx="5943600" cy="4097323"/>
        </a:xfrm>
        <a:prstGeom prst="rect">
          <a:avLst/>
        </a:prstGeom>
      </xdr:spPr>
    </xdr:pic>
    <xdr:clientData/>
  </xdr:twoCellAnchor>
  <xdr:twoCellAnchor editAs="oneCell">
    <xdr:from>
      <xdr:col>9</xdr:col>
      <xdr:colOff>0</xdr:colOff>
      <xdr:row>25</xdr:row>
      <xdr:rowOff>0</xdr:rowOff>
    </xdr:from>
    <xdr:to>
      <xdr:col>19</xdr:col>
      <xdr:colOff>87630</xdr:colOff>
      <xdr:row>36</xdr:row>
      <xdr:rowOff>109664</xdr:rowOff>
    </xdr:to>
    <xdr:pic>
      <xdr:nvPicPr>
        <xdr:cNvPr id="4" name="Immagin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6004560" y="4983480"/>
          <a:ext cx="6031230" cy="22051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220755</xdr:colOff>
      <xdr:row>73</xdr:row>
      <xdr:rowOff>29136</xdr:rowOff>
    </xdr:from>
    <xdr:to>
      <xdr:col>24</xdr:col>
      <xdr:colOff>276759</xdr:colOff>
      <xdr:row>79</xdr:row>
      <xdr:rowOff>127501</xdr:rowOff>
    </xdr:to>
    <xdr:pic>
      <xdr:nvPicPr>
        <xdr:cNvPr id="2" name="Immagin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0650630" y="16459761"/>
          <a:ext cx="5536689" cy="11804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eonardo Silvestri" id="{7E8031DE-E2D9-4298-9E36-70E04938FB2C}" userId="S::Leonardo.Silvestri@rothoblaas.com::ddd85e3b-1a66-4c5d-93ae-cdbc81938721"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0C71B0-4BDD-4288-BBA5-E66F3027B9AE}" name="LEN_CON" displayName="LEN_CON" ref="B8:H36" totalsRowShown="0" headerRowDxfId="200" dataDxfId="199">
  <autoFilter ref="B8:H36" xr:uid="{560C71B0-4BDD-4288-BBA5-E66F3027B9AE}"/>
  <tableColumns count="7">
    <tableColumn id="1" xr3:uid="{0BBB1E42-D493-431E-B038-D1D1A9CADA6F}" name="Column1" dataDxfId="198"/>
    <tableColumn id="2" xr3:uid="{4AFD3BBB-EDFA-425C-994E-155F33358A8E}" name="IT" dataDxfId="197"/>
    <tableColumn id="3" xr3:uid="{EE4622FC-2489-45CD-A9FD-3446FE0F7BAC}" name="EN" dataDxfId="196"/>
    <tableColumn id="4" xr3:uid="{95A50678-7E94-4F69-AC23-AA1E1B8B55F9}" name="DE" dataDxfId="195"/>
    <tableColumn id="5" xr3:uid="{F63F9F05-9CB6-4C14-BFB3-F6EA2D7D17C2}" name="FR" dataDxfId="194"/>
    <tableColumn id="6" xr3:uid="{6FDC9857-52B4-4181-8AD0-6473C0DF8402}" name="ES" dataDxfId="193"/>
    <tableColumn id="7" xr3:uid="{D7C81DFC-BBB5-456D-9B63-9F6AA3E86D23}" name="Column2" dataDxfId="192"/>
  </tableColumns>
  <tableStyleInfo name="TableStyleLight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F8F65B-19E7-4FB7-8602-069AD0F03333}" name="kmod" displayName="kmod" ref="I62:N65" totalsRowShown="0" headerRowDxfId="38" dataDxfId="37">
  <autoFilter ref="I62:N65" xr:uid="{BEF8F65B-19E7-4FB7-8602-069AD0F03333}">
    <filterColumn colId="0" hiddenButton="1"/>
    <filterColumn colId="1" hiddenButton="1"/>
    <filterColumn colId="2" hiddenButton="1"/>
    <filterColumn colId="3" hiddenButton="1"/>
    <filterColumn colId="4" hiddenButton="1"/>
    <filterColumn colId="5" hiddenButton="1"/>
  </autoFilter>
  <tableColumns count="6">
    <tableColumn id="1" xr3:uid="{1FC5436B-94D3-46EF-8BF8-88450BF4377E}" name="CS" dataDxfId="36"/>
    <tableColumn id="2" xr3:uid="{6D67E56B-55E1-43C8-B20B-566A85B2FD20}" name="Permanent" dataDxfId="35"/>
    <tableColumn id="3" xr3:uid="{9DAF15DD-16D2-4F1F-9278-5BB802E2D139}" name="Long term" dataDxfId="34"/>
    <tableColumn id="4" xr3:uid="{A185E14A-63C4-434D-9F8D-076CC7A36334}" name="Medium term" dataDxfId="33"/>
    <tableColumn id="5" xr3:uid="{B7D34EEF-7E64-48EF-9F3D-340AA0873BCB}" name="Short term" dataDxfId="32"/>
    <tableColumn id="6" xr3:uid="{29828CAB-C63B-45DD-95D7-C8CD49670A0D}" name="Istantaneous" dataDxfId="31"/>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ACBB546-EDCB-4E31-9405-B5FAE461EAB1}" name="TimberType" displayName="TimberType" ref="A3:S43" totalsRowShown="0" headerRowDxfId="30" dataDxfId="29">
  <autoFilter ref="A3:S43" xr:uid="{CACBB546-EDCB-4E31-9405-B5FAE461EA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74ACEB7-00CC-4533-948E-C14FF1E38F65}" name="Classe" dataDxfId="28"/>
    <tableColumn id="2" xr3:uid="{B4982589-6C5A-4D43-A4B7-E5BE800CDFAB}" name="fm,k" dataDxfId="27"/>
    <tableColumn id="3" xr3:uid="{7F5E3E4D-D919-4F8F-B697-E2DAE65AF61E}" name="ft,0,k" dataDxfId="26"/>
    <tableColumn id="4" xr3:uid="{0E1F8A1E-6238-467B-A2F1-393E5769EA31}" name="ft,90,k" dataDxfId="25"/>
    <tableColumn id="5" xr3:uid="{8BD4E180-FE1C-4ACD-992C-8D9AE942944E}" name="fc,0,k" dataDxfId="24"/>
    <tableColumn id="6" xr3:uid="{5CE6B473-7DB0-48FD-B698-052CA1947676}" name="fc,90,k" dataDxfId="23"/>
    <tableColumn id="7" xr3:uid="{9ABD35F2-B0FD-40FE-A04B-05201AEDC0F7}" name="fv,k" dataDxfId="22"/>
    <tableColumn id="16" xr3:uid="{BEF41BAA-2CF1-4445-B0CE-B72FE929CF76}" name="fr,k" dataDxfId="21"/>
    <tableColumn id="8" xr3:uid="{88D7C42C-873D-4A41-8132-C18D387BD9FC}" name="E0,mean" dataDxfId="20"/>
    <tableColumn id="10" xr3:uid="{CDBC70A5-CCB4-4EB5-9E41-76D19D898A10}" name="E0,05" dataDxfId="19"/>
    <tableColumn id="17" xr3:uid="{8FE67E4C-51EF-4359-9926-A635417B1FCB}" name="E90,mean" dataDxfId="18"/>
    <tableColumn id="18" xr3:uid="{6F8AFD6F-97BD-4E92-87BC-3824AD730B9D}" name="E90,05" dataDxfId="17"/>
    <tableColumn id="9" xr3:uid="{30063F16-F5A9-496F-B1E1-CCEA94734AD5}" name="Gmean" dataDxfId="16"/>
    <tableColumn id="14" xr3:uid="{5DD441A5-C557-4B12-9D4E-F6603BDD0355}" name="G05" dataDxfId="15"/>
    <tableColumn id="19" xr3:uid="{87D3C466-FD0E-4847-8740-59D28871C51D}" name="Gr,mean" dataDxfId="14"/>
    <tableColumn id="20" xr3:uid="{C1A79D1B-6D48-4EF4-8051-08606A6EC691}" name="Gr,05" dataDxfId="13"/>
    <tableColumn id="12" xr3:uid="{7E19960E-1EC3-4958-9954-BFE9AEB9A471}" name="ρk" dataDxfId="12"/>
    <tableColumn id="11" xr3:uid="{8DCA15AB-E287-4815-808B-E6E2647284C3}" name="ρmean" dataDxfId="11"/>
    <tableColumn id="13" xr3:uid="{CB7B6C40-8C86-42E8-9F7F-D88B92DE4D9E}" name="γM" dataDxfId="10">
      <calculatedColumnFormula>IF(LEFT(TimberType[[#This Row],[Classe]])="GL",IF(Input!$I$5=RefText_DB!$B$4,1.25,1.45),IF(Input!$I$5=RefText_DB!$B$4,1.3,1.5))</calculatedColumnFormula>
    </tableColumn>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3E73C0-87EE-4C00-BA4E-57A3696EE2CB}" name="kdef" displayName="kdef" ref="I67:J70" totalsRowShown="0" headerRowDxfId="9" dataDxfId="8">
  <autoFilter ref="I67:J70" xr:uid="{293E73C0-87EE-4C00-BA4E-57A3696EE2CB}">
    <filterColumn colId="0" hiddenButton="1"/>
    <filterColumn colId="1" hiddenButton="1"/>
  </autoFilter>
  <tableColumns count="2">
    <tableColumn id="1" xr3:uid="{7452BA1C-96E6-484F-B7C8-EA5B9AA8CD14}" name="CS" dataDxfId="7"/>
    <tableColumn id="2" xr3:uid="{130E1345-2D9C-46A3-AFE4-C084819A12E7}" name="Quasi Permanenti" dataDxfId="6"/>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5978DE-EF6B-4C80-A7C2-BA488F8FA549}" name="γ" displayName="γ" ref="I72:L79" totalsRowShown="0" headerRowDxfId="5" dataDxfId="4" headerRowCellStyle="Normale 2" dataCellStyle="Normale 2">
  <autoFilter ref="I72:L79" xr:uid="{C25978DE-EF6B-4C80-A7C2-BA488F8FA549}">
    <filterColumn colId="0" hiddenButton="1"/>
    <filterColumn colId="1" hiddenButton="1"/>
    <filterColumn colId="2" hiddenButton="1"/>
    <filterColumn colId="3" hiddenButton="1"/>
  </autoFilter>
  <tableColumns count="4">
    <tableColumn id="1" xr3:uid="{BA0AA8C9-BA53-4F5B-BFD2-6D5FE08F8E83}" name="γ" dataDxfId="3" dataCellStyle="Normale 2"/>
    <tableColumn id="2" xr3:uid="{5A049B44-F561-43E7-846B-57E4A52AE4C3}" name="Description" dataDxfId="2" dataCellStyle="Normale 2"/>
    <tableColumn id="3" xr3:uid="{197C524E-4300-484D-84A7-C5FC96FC1ADB}" name="UNI EN 1995:2014" dataDxfId="1" dataCellStyle="Normale 2"/>
    <tableColumn id="4" xr3:uid="{9FEF387F-583F-406F-903A-A30D230C2A8D}" name="NTC2018" dataDxfId="0" dataCellStyle="Normale 2"/>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099F735-8A9B-47AB-9E32-721F6F0166F2}" name="Table13" displayName="Table13" ref="I82:J86" totalsRowShown="0">
  <autoFilter ref="I82:J86" xr:uid="{6099F735-8A9B-47AB-9E32-721F6F0166F2}"/>
  <tableColumns count="2">
    <tableColumn id="1" xr3:uid="{E425D065-A85D-4C92-A1C8-0BA4016E8BEC}" name="Tipo pannello"/>
    <tableColumn id="2" xr3:uid="{8C36AA16-9D5B-4928-B102-2A20CD14FBFF}" name="ρk"/>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622B30-7A05-4AF1-8C26-EF4998469E11}" name="LEN_IN" displayName="LEN_IN" ref="B40:H87" totalsRowShown="0" headerRowDxfId="191" dataDxfId="190">
  <autoFilter ref="B40:H87" xr:uid="{E6622B30-7A05-4AF1-8C26-EF4998469E11}"/>
  <tableColumns count="7">
    <tableColumn id="1" xr3:uid="{BF4AFDE4-4755-4F7D-B3B8-CD90D88415DB}" name="Column1" dataDxfId="189"/>
    <tableColumn id="2" xr3:uid="{45557EAF-9863-4854-9157-3EA742CC5BF5}" name="IT" dataDxfId="188"/>
    <tableColumn id="3" xr3:uid="{794F9B4C-6A9E-4FF2-8549-30FE9C9B6463}" name="EN" dataDxfId="187"/>
    <tableColumn id="4" xr3:uid="{9BA32C89-6909-4089-A810-29B76CB0FA76}" name="DE" dataDxfId="186"/>
    <tableColumn id="5" xr3:uid="{849CEAC6-CC29-4A7F-9D84-25071427154A}" name="FR" dataDxfId="185"/>
    <tableColumn id="6" xr3:uid="{CF574B68-E149-42C9-86E8-90AD687BB091}" name="ES" dataDxfId="184"/>
    <tableColumn id="7" xr3:uid="{CEB5E52A-D2C5-4267-86CC-A9104374E08E}" name="Column2" dataDxfId="183"/>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6C235B-6FEA-4404-8DF5-B702C0C8CCB8}" name="LEN_OUT" displayName="LEN_OUT" ref="B91:H128" totalsRowShown="0" headerRowDxfId="182" dataDxfId="181">
  <autoFilter ref="B91:H128" xr:uid="{DC6C235B-6FEA-4404-8DF5-B702C0C8CCB8}"/>
  <tableColumns count="7">
    <tableColumn id="1" xr3:uid="{ABDD243E-20DA-4C47-8AA8-128794A38EA2}" name="Column1" dataDxfId="180"/>
    <tableColumn id="2" xr3:uid="{97D5F1A6-8A4D-4DA1-967C-2D1886806CE7}" name="IT" dataDxfId="179"/>
    <tableColumn id="3" xr3:uid="{7072D6B5-B9F3-4E58-89B2-C2D18BD46D0B}" name="EN" dataDxfId="178"/>
    <tableColumn id="4" xr3:uid="{95FAAE6B-B014-4F8E-B7E8-0E40B888ADD5}" name="DE" dataDxfId="177"/>
    <tableColumn id="5" xr3:uid="{3BB1FD43-C703-4DD3-9380-F6263FE1B56E}" name="FR" dataDxfId="176"/>
    <tableColumn id="6" xr3:uid="{551254EF-BBD5-4D33-985E-3C0D45526F4D}" name="ES" dataDxfId="175"/>
    <tableColumn id="7" xr3:uid="{9F12A8EC-831B-493C-AD91-9D502EA34DB3}" name="Column2" dataDxfId="174"/>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88A9C9A-8C69-432C-8125-2FE475E801FE}" name="LEN_REPORT" displayName="LEN_REPORT" ref="B132:H257" totalsRowShown="0" headerRowDxfId="173" dataDxfId="172">
  <autoFilter ref="B132:H257" xr:uid="{988A9C9A-8C69-432C-8125-2FE475E801FE}"/>
  <tableColumns count="7">
    <tableColumn id="1" xr3:uid="{D10562C6-C9AC-487C-A85D-C54366D0E949}" name="Column1" dataDxfId="171"/>
    <tableColumn id="2" xr3:uid="{0EAD4592-50D1-4248-B0D6-5383AE54A28E}" name="IT" dataDxfId="170"/>
    <tableColumn id="3" xr3:uid="{81F337E0-B562-41A0-8697-F939F4629498}" name="EN" dataDxfId="169"/>
    <tableColumn id="4" xr3:uid="{666CF8CC-F7AC-4345-9FAD-33DCF1A2AB48}" name="DE" dataDxfId="168"/>
    <tableColumn id="5" xr3:uid="{78C58601-4AFA-4A7A-8198-7AAA87D6DA22}" name="FR" dataDxfId="167"/>
    <tableColumn id="6" xr3:uid="{A21FFFD4-06FA-49C1-8ED0-16690C51F389}" name="ES" dataDxfId="166"/>
    <tableColumn id="7" xr3:uid="{41FB0F36-2CF7-442F-8719-CC752B44753D}" name="Column2" dataDxfId="165"/>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2659755-4ECC-4F94-91F9-5A50BFB9D131}" name="J_MidSpan" displayName="J_MidSpan" ref="AB9:AC21" totalsRowCount="1" headerRowDxfId="70" dataDxfId="69" totalsRowDxfId="68" tableBorderDxfId="67">
  <autoFilter ref="AB9:AC20" xr:uid="{12659755-4ECC-4F94-91F9-5A50BFB9D131}">
    <filterColumn colId="0" hiddenButton="1"/>
    <filterColumn colId="1" hiddenButton="1"/>
  </autoFilter>
  <tableColumns count="2">
    <tableColumn id="1" xr3:uid="{99EE0DE8-7D56-4B2C-9E1E-B9B833F746AF}" name="jxx,i" totalsRowFunction="sum" dataDxfId="65" totalsRowDxfId="66"/>
    <tableColumn id="2" xr3:uid="{6DF0957B-540D-43FD-A086-18A389845565}" name="Jy,i" totalsRowFunction="sum" dataDxfId="63" totalsRowDxfId="6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E29917A-2886-4108-9355-8FDC7836C885}" name="J_Support" displayName="J_Support" ref="AG9:AH21" totalsRowCount="1" headerRowDxfId="62" dataDxfId="61" totalsRowDxfId="60" tableBorderDxfId="59">
  <autoFilter ref="AG9:AH20" xr:uid="{7E29917A-2886-4108-9355-8FDC7836C885}">
    <filterColumn colId="0" hiddenButton="1"/>
    <filterColumn colId="1" hiddenButton="1"/>
  </autoFilter>
  <tableColumns count="2">
    <tableColumn id="1" xr3:uid="{41C8385F-C9AA-4138-A897-11A916BD8D6A}" name="jxx,i" totalsRowFunction="sum" dataDxfId="57" totalsRowDxfId="58"/>
    <tableColumn id="2" xr3:uid="{6D3F3067-A355-441F-8850-9CA0A59BDDB5}" name="Jy,i" totalsRowFunction="sum" dataDxfId="55" totalsRowDxfId="5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7CE7A5D-B4B1-4000-9792-37A2E7E52BFD}" name="A_MidSpan" displayName="A_MidSpan" ref="AD9:AE21" totalsRowCount="1" headerRowDxfId="54" dataDxfId="53" totalsRowDxfId="52">
  <autoFilter ref="AD9:AE20" xr:uid="{E7CE7A5D-B4B1-4000-9792-37A2E7E52BFD}"/>
  <tableColumns count="2">
    <tableColumn id="1" xr3:uid="{00202DFA-C2AF-4628-9B04-A507BDF53868}" name="AX" totalsRowFunction="sum" dataDxfId="50" totalsRowDxfId="51"/>
    <tableColumn id="2" xr3:uid="{F0A43EE2-0F6D-41FD-8118-59DD7DE53834}" name="AY" totalsRowFunction="sum" dataDxfId="48" totalsRowDxfId="49"/>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B0C2F05-56D3-4D1D-A17B-19E4C8D34160}" name="A_Support" displayName="A_Support" ref="AI9:AJ21" totalsRowCount="1" headerRowDxfId="47" dataDxfId="46" totalsRowDxfId="45">
  <autoFilter ref="AI9:AJ20" xr:uid="{4B0C2F05-56D3-4D1D-A17B-19E4C8D34160}"/>
  <tableColumns count="2">
    <tableColumn id="1" xr3:uid="{98226957-7F83-49D1-A603-80659A915856}" name="AX" totalsRowFunction="sum" dataDxfId="43" totalsRowDxfId="44"/>
    <tableColumn id="2" xr3:uid="{DE7EAB91-8287-46FC-B9F7-A9AA6B055FEC}" name="AY" totalsRowFunction="sum" dataDxfId="41" totalsRowDxfId="4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A47BAF-4670-4CBE-BED4-0087EC9EF9AF}" name="CLT" displayName="CLT" ref="C3:Q48" totalsRowShown="0">
  <autoFilter ref="C3:Q48" xr:uid="{50A47BAF-4670-4CBE-BED4-0087EC9EF9AF}"/>
  <tableColumns count="15">
    <tableColumn id="1" xr3:uid="{72E130C3-7DF7-4A17-BBCE-BD411A16B98D}" name="Prod"/>
    <tableColumn id="2" xr3:uid="{CD612E5E-9914-4396-99CB-666C37460F77}" name="h"/>
    <tableColumn id="3" xr3:uid="{354B0595-F172-4BF7-B4D8-ADD9B6BB2F13}" name="Layers" dataDxfId="40">
      <calculatedColumnFormula>COUNT(CLT[[#This Row],[9]:[9'']])</calculatedColumnFormula>
    </tableColumn>
    <tableColumn id="5" xr3:uid="{870CDC32-8D4E-40A3-A82D-8E5DC11D5844}" name="Code" dataDxfId="39">
      <calculatedColumnFormula>_xlfn.CONCAT(D4, "mm-",CLT[[#This Row],[Layers]],"s", "-",H4," ",I4," ",J4," ",K4," ",L4," ",M4," ",N4," ",O4," ",P4)</calculatedColumnFormula>
    </tableColumn>
    <tableColumn id="4" xr3:uid="{B958CC9A-044C-47B1-B733-731845F86893}" name="11"/>
    <tableColumn id="6" xr3:uid="{2C1CE74B-4B64-485D-B4B4-2E8EB96619B5}" name="9"/>
    <tableColumn id="7" xr3:uid="{BF724625-F575-4056-AC07-2BC063F6B1DE}" name="7"/>
    <tableColumn id="8" xr3:uid="{13456BAB-8201-4F09-A817-7E4E0FB9719F}" name="5"/>
    <tableColumn id="9" xr3:uid="{53023BC0-395E-4800-A9D2-90F70196B376}" name="3"/>
    <tableColumn id="10" xr3:uid="{06FCC73A-1743-41F7-B2A6-4B2249650CFA}" name="0"/>
    <tableColumn id="11" xr3:uid="{8AE0AECC-BED6-4058-B9A4-97BB4AFAF88C}" name="3'"/>
    <tableColumn id="12" xr3:uid="{ED44040F-D08A-49F9-9E2E-FB10B1F9492C}" name="5'"/>
    <tableColumn id="13" xr3:uid="{90901D45-E646-442C-881A-2DCCCEDE7E5A}" name="7'"/>
    <tableColumn id="14" xr3:uid="{5E841E91-5584-49DF-B29D-13B2FFB5F339}" name="9'"/>
    <tableColumn id="15" xr3:uid="{0220B35A-2539-4CCD-BDB7-C117A40913EC}" name="1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50" dT="2026-04-13T06:28:44.61" personId="{7E8031DE-E2D9-4298-9E36-70E04938FB2C}" id="{C743A8A0-71DC-4852-8A99-995DBCF7E9E5}">
    <text>È stata utilizzata una media dei valori tra kdef clt e kdef glulam/massiccio in accordo a storaenso:
 kdef=(kdef_clt x kdef_wood)^0.5</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976"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2C19147-1E8A-4EC3-8D3C-F9989E576C07}">
  <we:reference id="WA200009404" version="1.0.0.8" store="Omex" storeType="OMEX"/>
  <we:alternateReferences>
    <we:reference id="WA200009404" version="1.0.0.8" store="WA200009404" storeType="OMEX"/>
  </we:alternateReferences>
  <we:properties>
    <we:property name="claude.fileId" value="&quot;afc5b84c-066f-4a81-bea1-086f9f67aae8&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othoblaas.com/privacy-policy"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A838B-26C9-413A-AEA5-74CC36848BDE}">
  <sheetPr codeName="sh0Conditions">
    <tabColor theme="1"/>
    <pageSetUpPr fitToPage="1"/>
  </sheetPr>
  <dimension ref="A1:K68"/>
  <sheetViews>
    <sheetView showGridLines="0" showRowColHeaders="0" tabSelected="1" zoomScale="115" zoomScaleNormal="115" zoomScaleSheetLayoutView="80" workbookViewId="0">
      <selection activeCell="E3" sqref="E3:E4"/>
    </sheetView>
  </sheetViews>
  <sheetFormatPr defaultColWidth="0" defaultRowHeight="12.75" customHeight="1" zeroHeight="1"/>
  <cols>
    <col min="1" max="2" width="6.42578125" customWidth="1"/>
    <col min="3" max="3" width="21.28515625" customWidth="1"/>
    <col min="4" max="4" width="89.85546875" customWidth="1"/>
    <col min="5" max="5" width="21.28515625" customWidth="1"/>
    <col min="6" max="6" width="6.42578125" customWidth="1"/>
    <col min="7" max="11" width="10.28515625" hidden="1" customWidth="1"/>
    <col min="12" max="16384" width="10.28515625" hidden="1"/>
  </cols>
  <sheetData>
    <row r="1" spans="1:11" ht="15">
      <c r="A1" s="100"/>
      <c r="B1" s="100"/>
      <c r="C1" s="100"/>
      <c r="D1" s="100"/>
      <c r="E1" s="100"/>
      <c r="F1" s="100"/>
    </row>
    <row r="2" spans="1:11" ht="12.95" customHeight="1">
      <c r="A2" s="100"/>
      <c r="B2" s="100"/>
      <c r="C2" s="100"/>
      <c r="D2" s="171" t="s">
        <v>0</v>
      </c>
      <c r="E2" s="101" t="str">
        <f>INDEX(LEN_CON[],1,MATCH($E$3,LEN_CON[#Headers],0))</f>
        <v>Language</v>
      </c>
      <c r="F2" s="100"/>
    </row>
    <row r="3" spans="1:11" ht="15">
      <c r="A3" s="100"/>
      <c r="B3" s="100"/>
      <c r="C3" s="100"/>
      <c r="D3" s="171"/>
      <c r="E3" s="172" t="s">
        <v>1</v>
      </c>
      <c r="F3" s="100"/>
    </row>
    <row r="4" spans="1:11" ht="15">
      <c r="A4" s="100"/>
      <c r="B4" s="100"/>
      <c r="C4" s="100"/>
      <c r="D4" s="171"/>
      <c r="E4" s="172"/>
      <c r="F4" s="100"/>
    </row>
    <row r="5" spans="1:11" ht="15">
      <c r="A5" s="100"/>
      <c r="B5" s="100"/>
      <c r="C5" s="100"/>
      <c r="D5" s="100"/>
      <c r="E5" s="100"/>
      <c r="F5" s="100"/>
    </row>
    <row r="6" spans="1:11" ht="16.5">
      <c r="A6" s="100"/>
      <c r="B6" s="100"/>
      <c r="C6" s="100"/>
      <c r="D6" s="102" t="str">
        <f>INDEX(LEN_CON[],2,MATCH($E$3,LEN_CON[#Headers],0))</f>
        <v>SHARP METAL CALCULATOR</v>
      </c>
      <c r="E6" s="100"/>
      <c r="F6" s="100"/>
    </row>
    <row r="7" spans="1:11" ht="12.75" customHeight="1">
      <c r="A7" s="100"/>
      <c r="B7" s="100"/>
      <c r="C7" s="173" t="str">
        <f>INDEX(LEN_CON[],3,MATCH($E$3,LEN_CON[#Headers],0))</f>
        <v>GENERAL TERMS AND CONDITIONS OF THE LICENSE AGREEMENT FOR THE USE OF THE SPREADSHEET "SHARP_METAL_CALCULATOR"</v>
      </c>
      <c r="D7" s="173"/>
      <c r="E7" s="173"/>
      <c r="F7" s="100"/>
    </row>
    <row r="8" spans="1:11" ht="18" customHeight="1">
      <c r="A8" s="100"/>
      <c r="B8" s="100"/>
      <c r="C8" s="173"/>
      <c r="D8" s="173"/>
      <c r="E8" s="173"/>
      <c r="F8" s="100"/>
    </row>
    <row r="9" spans="1:11" ht="18" customHeight="1">
      <c r="A9" s="100"/>
      <c r="B9" s="100"/>
      <c r="C9" s="173"/>
      <c r="D9" s="173"/>
      <c r="E9" s="173"/>
      <c r="F9" s="100"/>
    </row>
    <row r="10" spans="1:11" ht="15">
      <c r="A10" s="100"/>
      <c r="B10" s="100"/>
      <c r="C10" s="100"/>
      <c r="D10" s="100"/>
      <c r="E10" s="100"/>
      <c r="F10" s="100"/>
    </row>
    <row r="11" spans="1:11" ht="15"/>
    <row r="12" spans="1:11" ht="264" customHeight="1">
      <c r="B12" s="174" t="e" vm="1">
        <v>#VALUE!</v>
      </c>
      <c r="C12" s="174"/>
      <c r="D12" s="174"/>
      <c r="E12" s="174"/>
    </row>
    <row r="13" spans="1:11" ht="15"/>
    <row r="14" spans="1:11" ht="15">
      <c r="B14" s="103" t="str">
        <f>INDEX(LEN_CON[],4,MATCH($E$3,LEN_CON[#Headers],0))</f>
        <v>1. SUBJECT</v>
      </c>
    </row>
    <row r="15" spans="1:11" ht="15">
      <c r="C15" s="104"/>
      <c r="D15" s="104"/>
      <c r="E15" s="104"/>
    </row>
    <row r="16" spans="1:11" ht="200.1" customHeight="1">
      <c r="C16" s="168" t="str">
        <f>INDEX(LEN_CON[],5,MATCH($E$3,LEN_CON[#Headers],0))</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6" s="168"/>
      <c r="E16" s="168"/>
      <c r="K16" s="15"/>
    </row>
    <row r="17" spans="2:9" ht="15">
      <c r="C17" s="25"/>
      <c r="D17" s="104"/>
      <c r="E17" s="104"/>
    </row>
    <row r="18" spans="2:9" ht="15">
      <c r="B18" s="103" t="str">
        <f>INDEX(LEN_CON[],6,MATCH($E$3,LEN_CON[#Headers],0))</f>
        <v>2. TECHNICAL-STANDARDS REFERENCES</v>
      </c>
      <c r="C18" s="25"/>
      <c r="D18" s="104"/>
      <c r="E18" s="104"/>
    </row>
    <row r="19" spans="2:9" ht="15">
      <c r="C19" s="25"/>
      <c r="D19" s="104"/>
      <c r="E19" s="104"/>
    </row>
    <row r="20" spans="2:9" ht="45.75" customHeight="1">
      <c r="B20" s="105"/>
      <c r="C20" s="170" t="str">
        <f>INDEX(LEN_CON[],7,MATCH($E$3,LEN_CON[#Headers],0))</f>
        <v>RB carried out the checks according to the Limit State method in accordance with EN 1995-1-1 Eurocode 5 - Design of timber structures and EN 1999-1-1 Eurocode 9 - Design of aluminium structures. For the mechanical resistance values and the geometry of the connectors, reference was made to ETA-23/0824.</v>
      </c>
      <c r="D20" s="170"/>
      <c r="E20" s="170"/>
      <c r="I20" s="106"/>
    </row>
    <row r="21" spans="2:9" ht="15">
      <c r="C21" s="15"/>
      <c r="D21" s="104"/>
      <c r="E21" s="104"/>
    </row>
    <row r="22" spans="2:9" ht="15">
      <c r="B22" s="103" t="str">
        <f>INDEX(LEN_CON[],8,MATCH($E$3,LEN_CON[#Headers],0))</f>
        <v>3. RB RIGHTS AND OBLIGATIONS</v>
      </c>
      <c r="C22" s="25"/>
      <c r="D22" s="104"/>
      <c r="E22" s="104"/>
    </row>
    <row r="23" spans="2:9" ht="15">
      <c r="C23" s="25"/>
      <c r="D23" s="104"/>
      <c r="E23" s="104"/>
    </row>
    <row r="24" spans="2:9" ht="160.5" customHeight="1">
      <c r="C24" s="168" t="str">
        <f>INDEX(LEN_CON[],9,MATCH($E$3,LEN_CON[#Headers],0))</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4" s="168"/>
      <c r="E24" s="168"/>
    </row>
    <row r="25" spans="2:9" ht="21.75" customHeight="1">
      <c r="C25" s="15"/>
      <c r="D25" s="104"/>
      <c r="E25" s="104"/>
    </row>
    <row r="26" spans="2:9" ht="45" customHeight="1">
      <c r="C26" s="15"/>
      <c r="D26" s="104"/>
      <c r="E26" s="104"/>
    </row>
    <row r="27" spans="2:9" ht="15">
      <c r="B27" s="103" t="str">
        <f>INDEX(LEN_CON[],10,MATCH($E$3,LEN_CON[#Headers],0))</f>
        <v>4. USER RIGHTS AND OBLIGATIONS</v>
      </c>
      <c r="C27" s="104"/>
      <c r="D27" s="104"/>
      <c r="E27" s="104"/>
    </row>
    <row r="28" spans="2:9" ht="15">
      <c r="C28" s="15"/>
      <c r="D28" s="104"/>
      <c r="E28" s="104"/>
    </row>
    <row r="29" spans="2:9" ht="315" customHeight="1">
      <c r="C29" s="168" t="str">
        <f>INDEX(LEN_CON[],11,MATCH($E$3,LEN_CON[#Headers],0))</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9" s="168"/>
      <c r="E29" s="168"/>
    </row>
    <row r="30" spans="2:9" ht="15">
      <c r="C30" s="15"/>
      <c r="D30" s="104"/>
      <c r="E30" s="104"/>
    </row>
    <row r="31" spans="2:9" ht="15">
      <c r="B31" s="103" t="str">
        <f>INDEX(LEN_CON[],12,MATCH($E$3,LEN_CON[#Headers],0))</f>
        <v>5. COPYRIGHTS</v>
      </c>
      <c r="C31" s="104"/>
      <c r="D31" s="104"/>
      <c r="E31" s="104"/>
    </row>
    <row r="32" spans="2:9" ht="15">
      <c r="C32" s="15"/>
      <c r="D32" s="104"/>
      <c r="E32" s="104"/>
    </row>
    <row r="33" spans="2:5" ht="77.25" customHeight="1">
      <c r="C33" s="168" t="str">
        <f>INDEX(LEN_CON[],13,MATCH($E$3,LEN_CON[#Headers],0))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3" s="168"/>
      <c r="E33" s="168"/>
    </row>
    <row r="34" spans="2:5" ht="15">
      <c r="C34" s="15"/>
      <c r="D34" s="104"/>
      <c r="E34" s="104"/>
    </row>
    <row r="35" spans="2:5" ht="15">
      <c r="B35" s="103" t="str">
        <f>INDEX(LEN_CON[],14,MATCH($E$3,LEN_CON[#Headers],0))</f>
        <v>6. DURATION, WITHDRAWAL AND TERMINATION</v>
      </c>
      <c r="C35" s="104"/>
      <c r="D35" s="104"/>
      <c r="E35" s="104"/>
    </row>
    <row r="36" spans="2:5" ht="15">
      <c r="C36" s="15"/>
      <c r="D36" s="104"/>
      <c r="E36" s="104"/>
    </row>
    <row r="37" spans="2:5" ht="102" customHeight="1">
      <c r="C37" s="168" t="str">
        <f>INDEX(LEN_CON[],15,MATCH($E$3,LEN_CON[#Headers],0))</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7" s="168"/>
      <c r="E37" s="168"/>
    </row>
    <row r="38" spans="2:5" ht="15">
      <c r="C38" s="15"/>
      <c r="D38" s="104"/>
      <c r="E38" s="104"/>
    </row>
    <row r="39" spans="2:5" ht="15">
      <c r="B39" s="103" t="str">
        <f>INDEX(LEN_CON[],16,MATCH($E$3,LEN_CON[#Headers],0))</f>
        <v>7. RESPONSIBILITY</v>
      </c>
      <c r="C39" s="104"/>
      <c r="D39" s="104"/>
      <c r="E39" s="104"/>
    </row>
    <row r="40" spans="2:5" ht="15">
      <c r="C40" s="15"/>
      <c r="D40" s="104"/>
      <c r="E40" s="104"/>
    </row>
    <row r="41" spans="2:5" ht="280.5" customHeight="1">
      <c r="C41" s="168" t="str">
        <f>INDEX(LEN_CON[],17,MATCH($E$3,LEN_CON[#Headers],0))</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41" s="168"/>
      <c r="E41" s="168"/>
    </row>
    <row r="42" spans="2:5" ht="15">
      <c r="C42" s="15"/>
      <c r="D42" s="104"/>
      <c r="E42" s="104"/>
    </row>
    <row r="43" spans="2:5" ht="15">
      <c r="B43" s="103" t="str">
        <f>INDEX(LEN_CON[],18,MATCH($E$3,LEN_CON[#Headers],0))</f>
        <v>8. REFUND</v>
      </c>
      <c r="C43" s="104"/>
      <c r="D43" s="104"/>
      <c r="E43" s="104"/>
    </row>
    <row r="44" spans="2:5" ht="15">
      <c r="C44" s="15"/>
      <c r="D44" s="104"/>
      <c r="E44" s="104"/>
    </row>
    <row r="45" spans="2:5" ht="58.5" customHeight="1">
      <c r="C45" s="168" t="str">
        <f>INDEX(LEN_CON[],19,MATCH($E$3,LEN_CON[#Headers],0))</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5" s="168"/>
      <c r="E45" s="168"/>
    </row>
    <row r="46" spans="2:5" ht="15">
      <c r="C46" s="15"/>
      <c r="D46" s="104"/>
      <c r="E46" s="104"/>
    </row>
    <row r="47" spans="2:5" ht="15">
      <c r="B47" s="103" t="str">
        <f>INDEX(LEN_CON[],20,MATCH($E$3,LEN_CON[#Headers],0))</f>
        <v>9. MISCELLANEOUS</v>
      </c>
      <c r="C47" s="104"/>
      <c r="D47" s="104"/>
      <c r="E47" s="104"/>
    </row>
    <row r="48" spans="2:5" ht="15">
      <c r="C48" s="15"/>
      <c r="D48" s="104"/>
      <c r="E48" s="104"/>
    </row>
    <row r="49" spans="2:10" ht="58.5" customHeight="1">
      <c r="C49" s="168" t="str">
        <f>INDEX(LEN_CON[],21,MATCH($E$3,LEN_CON[#Headers],0))</f>
        <v>These general conditions constitute the entire agreement between RB and the user regarding the subject matter and replace all previous, oral or written agreements, as well as any agreements between RB and the user.</v>
      </c>
      <c r="D49" s="168"/>
      <c r="E49" s="168"/>
    </row>
    <row r="50" spans="2:10" ht="22.5" customHeight="1">
      <c r="C50" s="15"/>
      <c r="D50" s="15"/>
      <c r="E50" s="15"/>
    </row>
    <row r="51" spans="2:10" ht="45" customHeight="1">
      <c r="C51" s="15"/>
      <c r="D51" s="104"/>
      <c r="E51" s="104"/>
    </row>
    <row r="52" spans="2:10" ht="15">
      <c r="B52" s="103" t="str">
        <f>INDEX(LEN_CON[],22,MATCH($E$3,LEN_CON[#Headers],0))</f>
        <v>10. LANGUAGE</v>
      </c>
      <c r="C52" s="104"/>
      <c r="D52" s="104"/>
      <c r="E52" s="104"/>
    </row>
    <row r="53" spans="2:10" ht="15">
      <c r="C53" s="15"/>
      <c r="D53" s="104"/>
      <c r="E53" s="104"/>
    </row>
    <row r="54" spans="2:10" ht="25.5" customHeight="1">
      <c r="C54" s="168" t="str">
        <f>INDEX(LEN_CON[],23,MATCH($E$3,LEN_CON[#Headers],0))</f>
        <v>In the event of differences between versions of these conditions in the various languages, the English text is binding and takes precedence with respect to the translations.</v>
      </c>
      <c r="D54" s="168"/>
      <c r="E54" s="168"/>
    </row>
    <row r="55" spans="2:10" ht="28.5" customHeight="1">
      <c r="C55" s="15"/>
      <c r="D55" s="104"/>
      <c r="E55" s="104"/>
    </row>
    <row r="56" spans="2:10" ht="15">
      <c r="C56" s="15"/>
      <c r="D56" s="104"/>
      <c r="E56" s="104"/>
    </row>
    <row r="57" spans="2:10" ht="15">
      <c r="B57" s="103" t="str">
        <f>INDEX(LEN_CON[],24,MATCH($E$3,LEN_CON[#Headers],0))</f>
        <v>11. APPLICABLE LAW AND COURT OF JURISDICTION</v>
      </c>
      <c r="C57" s="104"/>
      <c r="D57" s="104"/>
      <c r="E57" s="104"/>
      <c r="J57" s="99"/>
    </row>
    <row r="58" spans="2:10" ht="15">
      <c r="C58" s="15"/>
      <c r="D58" s="104"/>
      <c r="E58" s="104"/>
    </row>
    <row r="59" spans="2:10" ht="12.75" customHeight="1">
      <c r="C59" s="168" t="str">
        <f>INDEX(LEN_CON[],25,MATCH($E$3,LEN_CON[#Headers],0))</f>
        <v>This agreement and any relationship between the parties is governed exclusively by the Italian law. 
Any dispute that may arise between the parties in relation to this agreement, that cannot be resolved amicably, shall be brought before the court of Bolzano.</v>
      </c>
      <c r="D59" s="168"/>
      <c r="E59" s="168"/>
    </row>
    <row r="60" spans="2:10" ht="15">
      <c r="C60" s="15"/>
      <c r="D60" s="104"/>
      <c r="E60" s="104"/>
    </row>
    <row r="61" spans="2:10" ht="15">
      <c r="B61" s="103" t="str">
        <f>INDEX(LEN_CON[],26,MATCH($E$3,LEN_CON[#Headers],0))</f>
        <v>12. PRIVACY</v>
      </c>
      <c r="C61" s="104"/>
      <c r="D61" s="104"/>
      <c r="E61" s="104"/>
    </row>
    <row r="62" spans="2:10" ht="12.75" customHeight="1">
      <c r="C62" s="15"/>
      <c r="D62" s="104"/>
      <c r="E62" s="104"/>
    </row>
    <row r="63" spans="2:10" ht="12.75" customHeight="1">
      <c r="C63" s="168" t="str">
        <f>INDEX(LEN_CON[],27,MATCH($E$3,LEN_CON[#Headers],0))</f>
        <v>Refer to the privacy policy available at the link:</v>
      </c>
      <c r="D63" s="168"/>
      <c r="E63" s="168"/>
    </row>
    <row r="64" spans="2:10" ht="12.75" customHeight="1">
      <c r="C64" s="169" t="s">
        <v>2</v>
      </c>
      <c r="D64" s="168"/>
      <c r="E64" s="168"/>
    </row>
    <row r="65" spans="1:6" ht="12.75" customHeight="1"/>
    <row r="66" spans="1:6" ht="15">
      <c r="A66" s="167" t="str">
        <f>INDEX(LEN_CON[],28,MATCH($E$3,LEN_CON[#Headers],0))</f>
        <v>ACCEPT</v>
      </c>
      <c r="B66" s="167"/>
      <c r="C66" s="167"/>
      <c r="D66" s="167"/>
      <c r="E66" s="167"/>
      <c r="F66" s="167"/>
    </row>
    <row r="67" spans="1:6" ht="15">
      <c r="A67" s="167"/>
      <c r="B67" s="167"/>
      <c r="C67" s="167"/>
      <c r="D67" s="167"/>
      <c r="E67" s="167"/>
      <c r="F67" s="167"/>
    </row>
    <row r="68" spans="1:6" ht="15">
      <c r="A68" s="167"/>
      <c r="B68" s="167"/>
      <c r="C68" s="167"/>
      <c r="D68" s="167"/>
      <c r="E68" s="167"/>
      <c r="F68" s="167"/>
    </row>
  </sheetData>
  <sheetProtection algorithmName="SHA-512" hashValue="prFH2sGXie+TdlJtSBvjMSUHlNX+QAAHpti3etjJLhS7h/0KypjQhSG5hbfKmqDbcNB59K1h5jBzKSLGaXpGqg==" saltValue="TwRi5zRCNLT79lk9tpr9BA==" spinCount="100000" sheet="1" objects="1" selectLockedCells="1" pivotTables="0"/>
  <mergeCells count="18">
    <mergeCell ref="C20:E20"/>
    <mergeCell ref="D2:D4"/>
    <mergeCell ref="E3:E4"/>
    <mergeCell ref="C7:E9"/>
    <mergeCell ref="B12:E12"/>
    <mergeCell ref="C16:E16"/>
    <mergeCell ref="A66:F68"/>
    <mergeCell ref="C24:E24"/>
    <mergeCell ref="C29:E29"/>
    <mergeCell ref="C33:E33"/>
    <mergeCell ref="C37:E37"/>
    <mergeCell ref="C41:E41"/>
    <mergeCell ref="C45:E45"/>
    <mergeCell ref="C49:E49"/>
    <mergeCell ref="C54:E54"/>
    <mergeCell ref="C59:E59"/>
    <mergeCell ref="C63:E63"/>
    <mergeCell ref="C64:E64"/>
  </mergeCells>
  <dataValidations count="1">
    <dataValidation type="list" allowBlank="1" showInputMessage="1" showErrorMessage="1" sqref="E3:E4" xr:uid="{67143C01-7810-420F-9FE2-5735EBFCFC96}">
      <formula1>"EN"</formula1>
    </dataValidation>
  </dataValidations>
  <hyperlinks>
    <hyperlink ref="C64" r:id="rId1" xr:uid="{253BBCC4-624E-4297-A1AF-84756FD9C52C}"/>
  </hyperlinks>
  <pageMargins left="0" right="0" top="0" bottom="0" header="0" footer="0"/>
  <pageSetup paperSize="9" scale="69" fitToHeight="0" orientation="portrait" r:id="rId2"/>
  <rowBreaks count="2" manualBreakCount="2">
    <brk id="25" max="5" man="1"/>
    <brk id="50"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Data">
    <tabColor rgb="FF92D050"/>
  </sheetPr>
  <dimension ref="A2:AF118"/>
  <sheetViews>
    <sheetView showGridLines="0" topLeftCell="A43" zoomScaleNormal="100" workbookViewId="0">
      <selection activeCell="H24" sqref="H24"/>
    </sheetView>
  </sheetViews>
  <sheetFormatPr defaultColWidth="9.140625" defaultRowHeight="12.75"/>
  <cols>
    <col min="1" max="1" width="36" style="21" customWidth="1"/>
    <col min="2" max="8" width="8" style="21" customWidth="1"/>
    <col min="9" max="9" width="15.28515625" style="21" customWidth="1"/>
    <col min="10" max="14" width="8" style="21" customWidth="1"/>
    <col min="15" max="15" width="9.140625" style="21" customWidth="1"/>
    <col min="16" max="16384" width="9.140625" style="21"/>
  </cols>
  <sheetData>
    <row r="2" spans="1:20">
      <c r="A2" s="21" t="s">
        <v>790</v>
      </c>
    </row>
    <row r="3" spans="1:20" ht="24">
      <c r="A3" s="20" t="s">
        <v>791</v>
      </c>
      <c r="B3" s="16" t="s">
        <v>792</v>
      </c>
      <c r="C3" s="16" t="s">
        <v>793</v>
      </c>
      <c r="D3" s="16" t="s">
        <v>794</v>
      </c>
      <c r="E3" s="16" t="s">
        <v>795</v>
      </c>
      <c r="F3" s="16" t="s">
        <v>796</v>
      </c>
      <c r="G3" s="16" t="s">
        <v>797</v>
      </c>
      <c r="H3" s="16" t="s">
        <v>798</v>
      </c>
      <c r="I3" s="16" t="s">
        <v>799</v>
      </c>
      <c r="J3" s="16" t="s">
        <v>800</v>
      </c>
      <c r="K3" s="16" t="s">
        <v>801</v>
      </c>
      <c r="L3" s="16" t="s">
        <v>802</v>
      </c>
      <c r="M3" s="16" t="s">
        <v>803</v>
      </c>
      <c r="N3" s="16" t="s">
        <v>804</v>
      </c>
      <c r="O3" s="16" t="s">
        <v>805</v>
      </c>
      <c r="P3" s="16" t="s">
        <v>806</v>
      </c>
      <c r="Q3" s="16" t="s">
        <v>807</v>
      </c>
      <c r="R3" s="43" t="s">
        <v>808</v>
      </c>
      <c r="S3" s="16" t="s">
        <v>809</v>
      </c>
    </row>
    <row r="4" spans="1:20" ht="15">
      <c r="A4" s="20" t="s">
        <v>810</v>
      </c>
      <c r="B4" s="16">
        <v>20</v>
      </c>
      <c r="C4" s="16">
        <v>16</v>
      </c>
      <c r="D4" s="16">
        <v>0.5</v>
      </c>
      <c r="E4" s="16">
        <v>20</v>
      </c>
      <c r="F4" s="16">
        <v>2.5</v>
      </c>
      <c r="G4" s="16">
        <v>3.5</v>
      </c>
      <c r="H4" s="16">
        <v>1.2</v>
      </c>
      <c r="I4" s="16">
        <v>8400</v>
      </c>
      <c r="J4" s="16">
        <v>7000</v>
      </c>
      <c r="K4" s="16">
        <v>300</v>
      </c>
      <c r="L4" s="16">
        <v>250</v>
      </c>
      <c r="M4" s="16">
        <v>650</v>
      </c>
      <c r="N4" s="16">
        <v>540</v>
      </c>
      <c r="O4" s="16">
        <v>65</v>
      </c>
      <c r="P4" s="16">
        <v>54</v>
      </c>
      <c r="Q4" s="16">
        <v>340</v>
      </c>
      <c r="R4" s="16">
        <v>370</v>
      </c>
      <c r="S4" s="16">
        <f>IF(LEFT(TimberType[[#This Row],[Classe]])="GL",IF(Input!$I$5=RefText_DB!$B$4,1.25,1.45),IF(Input!$I$5=RefText_DB!$B$4,1.3,1.5))</f>
        <v>1.3</v>
      </c>
      <c r="T4"/>
    </row>
    <row r="5" spans="1:20" ht="15">
      <c r="A5" s="20" t="s">
        <v>811</v>
      </c>
      <c r="B5" s="16">
        <v>22</v>
      </c>
      <c r="C5" s="16">
        <v>17.600000000000001</v>
      </c>
      <c r="D5" s="16">
        <v>0.5</v>
      </c>
      <c r="E5" s="16">
        <v>22</v>
      </c>
      <c r="F5" s="16">
        <v>2.5</v>
      </c>
      <c r="G5" s="16">
        <v>3.5</v>
      </c>
      <c r="H5" s="16">
        <v>1.2</v>
      </c>
      <c r="I5" s="16">
        <v>10500</v>
      </c>
      <c r="J5" s="16">
        <v>8800</v>
      </c>
      <c r="K5" s="16">
        <v>300</v>
      </c>
      <c r="L5" s="16">
        <v>250</v>
      </c>
      <c r="M5" s="16">
        <v>650</v>
      </c>
      <c r="N5" s="16">
        <v>540</v>
      </c>
      <c r="O5" s="16">
        <v>65</v>
      </c>
      <c r="P5" s="16">
        <v>54</v>
      </c>
      <c r="Q5" s="16">
        <v>370</v>
      </c>
      <c r="R5" s="16">
        <v>410</v>
      </c>
      <c r="S5" s="16">
        <f>IF(LEFT(TimberType[[#This Row],[Classe]])="GL",IF(Input!$I$5=RefText_DB!$B$4,1.25,1.45),IF(Input!$I$5=RefText_DB!$B$4,1.3,1.5))</f>
        <v>1.3</v>
      </c>
      <c r="T5"/>
    </row>
    <row r="6" spans="1:20" ht="15">
      <c r="A6" s="20" t="s">
        <v>556</v>
      </c>
      <c r="B6" s="16">
        <v>24</v>
      </c>
      <c r="C6" s="16">
        <v>19.2</v>
      </c>
      <c r="D6" s="16">
        <v>0.5</v>
      </c>
      <c r="E6" s="16">
        <v>24</v>
      </c>
      <c r="F6" s="16">
        <v>2.5</v>
      </c>
      <c r="G6" s="16">
        <v>3.5</v>
      </c>
      <c r="H6" s="16">
        <v>1.2</v>
      </c>
      <c r="I6" s="16">
        <v>11500</v>
      </c>
      <c r="J6" s="16">
        <v>9600</v>
      </c>
      <c r="K6" s="16">
        <v>300</v>
      </c>
      <c r="L6" s="16">
        <v>250</v>
      </c>
      <c r="M6" s="16">
        <v>650</v>
      </c>
      <c r="N6" s="16">
        <v>540</v>
      </c>
      <c r="O6" s="16">
        <v>65</v>
      </c>
      <c r="P6" s="16">
        <v>54</v>
      </c>
      <c r="Q6" s="16">
        <v>385</v>
      </c>
      <c r="R6" s="16">
        <v>420</v>
      </c>
      <c r="S6" s="16">
        <f>IF(LEFT(TimberType[[#This Row],[Classe]])="GL",IF(Input!$I$5=RefText_DB!$B$4,1.25,1.45),IF(Input!$I$5=RefText_DB!$B$4,1.3,1.5))</f>
        <v>1.3</v>
      </c>
      <c r="T6"/>
    </row>
    <row r="7" spans="1:20" ht="15">
      <c r="A7" s="20" t="s">
        <v>812</v>
      </c>
      <c r="B7" s="16">
        <v>26</v>
      </c>
      <c r="C7" s="16">
        <v>20.8</v>
      </c>
      <c r="D7" s="16">
        <v>0.5</v>
      </c>
      <c r="E7" s="16">
        <v>26</v>
      </c>
      <c r="F7" s="16">
        <v>2.5</v>
      </c>
      <c r="G7" s="16">
        <v>3.5</v>
      </c>
      <c r="H7" s="16">
        <v>1.2</v>
      </c>
      <c r="I7" s="16">
        <v>12100</v>
      </c>
      <c r="J7" s="16">
        <v>10100</v>
      </c>
      <c r="K7" s="16">
        <v>300</v>
      </c>
      <c r="L7" s="16">
        <v>250</v>
      </c>
      <c r="M7" s="16">
        <v>650</v>
      </c>
      <c r="N7" s="16">
        <v>540</v>
      </c>
      <c r="O7" s="16">
        <v>65</v>
      </c>
      <c r="P7" s="16">
        <v>54</v>
      </c>
      <c r="Q7" s="16">
        <v>405</v>
      </c>
      <c r="R7" s="16">
        <v>445</v>
      </c>
      <c r="S7" s="16">
        <f>IF(LEFT(TimberType[[#This Row],[Classe]])="GL",IF(Input!$I$5=RefText_DB!$B$4,1.25,1.45),IF(Input!$I$5=RefText_DB!$B$4,1.3,1.5))</f>
        <v>1.3</v>
      </c>
      <c r="T7"/>
    </row>
    <row r="8" spans="1:20" ht="15">
      <c r="A8" s="20" t="s">
        <v>813</v>
      </c>
      <c r="B8" s="16">
        <v>28</v>
      </c>
      <c r="C8" s="16">
        <v>22.3</v>
      </c>
      <c r="D8" s="16">
        <v>0.5</v>
      </c>
      <c r="E8" s="16">
        <v>28</v>
      </c>
      <c r="F8" s="16">
        <v>2.5</v>
      </c>
      <c r="G8" s="16">
        <v>3.5</v>
      </c>
      <c r="H8" s="16">
        <v>1.2</v>
      </c>
      <c r="I8" s="16">
        <v>12600</v>
      </c>
      <c r="J8" s="16">
        <v>10500</v>
      </c>
      <c r="K8" s="16">
        <v>300</v>
      </c>
      <c r="L8" s="16">
        <v>250</v>
      </c>
      <c r="M8" s="16">
        <v>650</v>
      </c>
      <c r="N8" s="16">
        <v>540</v>
      </c>
      <c r="O8" s="16">
        <v>65</v>
      </c>
      <c r="P8" s="16">
        <v>54</v>
      </c>
      <c r="Q8" s="16">
        <v>425</v>
      </c>
      <c r="R8" s="16">
        <v>460</v>
      </c>
      <c r="S8" s="16">
        <f>IF(LEFT(TimberType[[#This Row],[Classe]])="GL",IF(Input!$I$5=RefText_DB!$B$4,1.25,1.45),IF(Input!$I$5=RefText_DB!$B$4,1.3,1.5))</f>
        <v>1.3</v>
      </c>
      <c r="T8"/>
    </row>
    <row r="9" spans="1:20" ht="15">
      <c r="A9" s="20" t="s">
        <v>814</v>
      </c>
      <c r="B9" s="16">
        <v>30</v>
      </c>
      <c r="C9" s="16">
        <v>24</v>
      </c>
      <c r="D9" s="16">
        <v>0.5</v>
      </c>
      <c r="E9" s="16">
        <v>30</v>
      </c>
      <c r="F9" s="16">
        <v>2.5</v>
      </c>
      <c r="G9" s="16">
        <v>3.5</v>
      </c>
      <c r="H9" s="16">
        <v>1.2</v>
      </c>
      <c r="I9" s="16">
        <v>13600</v>
      </c>
      <c r="J9" s="16">
        <v>11300</v>
      </c>
      <c r="K9" s="16">
        <v>300</v>
      </c>
      <c r="L9" s="16">
        <v>250</v>
      </c>
      <c r="M9" s="16">
        <v>650</v>
      </c>
      <c r="N9" s="16">
        <v>540</v>
      </c>
      <c r="O9" s="16">
        <v>65</v>
      </c>
      <c r="P9" s="16">
        <v>54</v>
      </c>
      <c r="Q9" s="16">
        <v>430</v>
      </c>
      <c r="R9" s="16">
        <v>480</v>
      </c>
      <c r="S9" s="16">
        <f>IF(LEFT(TimberType[[#This Row],[Classe]])="GL",IF(Input!$I$5=RefText_DB!$B$4,1.25,1.45),IF(Input!$I$5=RefText_DB!$B$4,1.3,1.5))</f>
        <v>1.3</v>
      </c>
      <c r="T9"/>
    </row>
    <row r="10" spans="1:20" ht="15">
      <c r="A10" s="20" t="s">
        <v>815</v>
      </c>
      <c r="B10" s="16">
        <v>32</v>
      </c>
      <c r="C10" s="16">
        <v>25.6</v>
      </c>
      <c r="D10" s="16">
        <v>0.5</v>
      </c>
      <c r="E10" s="16">
        <v>32</v>
      </c>
      <c r="F10" s="16">
        <v>2.5</v>
      </c>
      <c r="G10" s="16">
        <v>3.5</v>
      </c>
      <c r="H10" s="16">
        <v>1.2</v>
      </c>
      <c r="I10" s="16">
        <v>14200</v>
      </c>
      <c r="J10" s="16">
        <v>11800</v>
      </c>
      <c r="K10" s="16">
        <v>300</v>
      </c>
      <c r="L10" s="16">
        <v>250</v>
      </c>
      <c r="M10" s="16">
        <v>650</v>
      </c>
      <c r="N10" s="16">
        <v>540</v>
      </c>
      <c r="O10" s="16">
        <v>65</v>
      </c>
      <c r="P10" s="16">
        <v>54</v>
      </c>
      <c r="Q10" s="16">
        <v>440</v>
      </c>
      <c r="R10" s="16">
        <v>490</v>
      </c>
      <c r="S10" s="16">
        <f>IF(LEFT(TimberType[[#This Row],[Classe]])="GL",IF(Input!$I$5=RefText_DB!$B$4,1.25,1.45),IF(Input!$I$5=RefText_DB!$B$4,1.3,1.5))</f>
        <v>1.3</v>
      </c>
      <c r="T10"/>
    </row>
    <row r="11" spans="1:20" ht="15">
      <c r="A11" s="20" t="s">
        <v>816</v>
      </c>
      <c r="B11" s="16">
        <v>20</v>
      </c>
      <c r="C11" s="16">
        <v>15</v>
      </c>
      <c r="D11" s="16">
        <v>0.5</v>
      </c>
      <c r="E11" s="16">
        <v>18.5</v>
      </c>
      <c r="F11" s="16">
        <v>2.5</v>
      </c>
      <c r="G11" s="16">
        <v>3.5</v>
      </c>
      <c r="H11" s="16">
        <v>1.2</v>
      </c>
      <c r="I11" s="16">
        <v>10400</v>
      </c>
      <c r="J11" s="16">
        <v>8600</v>
      </c>
      <c r="K11" s="16">
        <v>300</v>
      </c>
      <c r="L11" s="16">
        <v>250</v>
      </c>
      <c r="M11" s="16">
        <v>650</v>
      </c>
      <c r="N11" s="16">
        <v>540</v>
      </c>
      <c r="O11" s="16">
        <v>65</v>
      </c>
      <c r="P11" s="16">
        <v>54</v>
      </c>
      <c r="Q11" s="16">
        <v>355</v>
      </c>
      <c r="R11" s="16">
        <v>390</v>
      </c>
      <c r="S11" s="16">
        <f>IF(LEFT(TimberType[[#This Row],[Classe]])="GL",IF(Input!$I$5=RefText_DB!$B$4,1.25,1.45),IF(Input!$I$5=RefText_DB!$B$4,1.3,1.5))</f>
        <v>1.3</v>
      </c>
      <c r="T11"/>
    </row>
    <row r="12" spans="1:20" ht="15">
      <c r="A12" s="20" t="s">
        <v>817</v>
      </c>
      <c r="B12" s="16">
        <v>22</v>
      </c>
      <c r="C12" s="16">
        <v>16</v>
      </c>
      <c r="D12" s="16">
        <v>0.5</v>
      </c>
      <c r="E12" s="16">
        <v>20</v>
      </c>
      <c r="F12" s="16">
        <v>2.5</v>
      </c>
      <c r="G12" s="16">
        <v>3.5</v>
      </c>
      <c r="H12" s="16">
        <v>1.2</v>
      </c>
      <c r="I12" s="16">
        <v>10400</v>
      </c>
      <c r="J12" s="16">
        <v>8600</v>
      </c>
      <c r="K12" s="16">
        <v>300</v>
      </c>
      <c r="L12" s="16">
        <v>250</v>
      </c>
      <c r="M12" s="16">
        <v>650</v>
      </c>
      <c r="N12" s="16">
        <v>540</v>
      </c>
      <c r="O12" s="16">
        <v>65</v>
      </c>
      <c r="P12" s="16">
        <v>54</v>
      </c>
      <c r="Q12" s="16">
        <v>355</v>
      </c>
      <c r="R12" s="16">
        <v>390</v>
      </c>
      <c r="S12" s="16">
        <f>IF(LEFT(TimberType[[#This Row],[Classe]])="GL",IF(Input!$I$5=RefText_DB!$B$4,1.25,1.45),IF(Input!$I$5=RefText_DB!$B$4,1.3,1.5))</f>
        <v>1.3</v>
      </c>
      <c r="T12"/>
    </row>
    <row r="13" spans="1:20" ht="15">
      <c r="A13" s="20" t="s">
        <v>818</v>
      </c>
      <c r="B13" s="16">
        <v>24</v>
      </c>
      <c r="C13" s="16">
        <v>17</v>
      </c>
      <c r="D13" s="16">
        <v>0.5</v>
      </c>
      <c r="E13" s="16">
        <v>21.5</v>
      </c>
      <c r="F13" s="16">
        <v>2.5</v>
      </c>
      <c r="G13" s="16">
        <v>3.5</v>
      </c>
      <c r="H13" s="16">
        <v>1.2</v>
      </c>
      <c r="I13" s="16">
        <v>11000</v>
      </c>
      <c r="J13" s="16">
        <v>9100</v>
      </c>
      <c r="K13" s="16">
        <v>300</v>
      </c>
      <c r="L13" s="16">
        <v>250</v>
      </c>
      <c r="M13" s="16">
        <v>650</v>
      </c>
      <c r="N13" s="16">
        <v>540</v>
      </c>
      <c r="O13" s="16">
        <v>65</v>
      </c>
      <c r="P13" s="16">
        <v>54</v>
      </c>
      <c r="Q13" s="16">
        <v>365</v>
      </c>
      <c r="R13" s="16">
        <v>400</v>
      </c>
      <c r="S13" s="16">
        <f>IF(LEFT(TimberType[[#This Row],[Classe]])="GL",IF(Input!$I$5=RefText_DB!$B$4,1.25,1.45),IF(Input!$I$5=RefText_DB!$B$4,1.3,1.5))</f>
        <v>1.3</v>
      </c>
      <c r="T13"/>
    </row>
    <row r="14" spans="1:20" ht="15">
      <c r="A14" s="20" t="s">
        <v>819</v>
      </c>
      <c r="B14" s="16">
        <v>26</v>
      </c>
      <c r="C14" s="16">
        <v>19</v>
      </c>
      <c r="D14" s="16">
        <v>0.5</v>
      </c>
      <c r="E14" s="16">
        <v>23.5</v>
      </c>
      <c r="F14" s="16">
        <v>2.5</v>
      </c>
      <c r="G14" s="16">
        <v>3.5</v>
      </c>
      <c r="H14" s="16">
        <v>1.2</v>
      </c>
      <c r="I14" s="16">
        <v>12000</v>
      </c>
      <c r="J14" s="16">
        <v>10000</v>
      </c>
      <c r="K14" s="16">
        <v>300</v>
      </c>
      <c r="L14" s="16">
        <v>250</v>
      </c>
      <c r="M14" s="16">
        <v>650</v>
      </c>
      <c r="N14" s="16">
        <v>540</v>
      </c>
      <c r="O14" s="16">
        <v>65</v>
      </c>
      <c r="P14" s="16">
        <v>54</v>
      </c>
      <c r="Q14" s="16">
        <v>385</v>
      </c>
      <c r="R14" s="16">
        <v>420</v>
      </c>
      <c r="S14" s="16">
        <f>IF(LEFT(TimberType[[#This Row],[Classe]])="GL",IF(Input!$I$5=RefText_DB!$B$4,1.25,1.45),IF(Input!$I$5=RefText_DB!$B$4,1.3,1.5))</f>
        <v>1.3</v>
      </c>
      <c r="T14"/>
    </row>
    <row r="15" spans="1:20" ht="15">
      <c r="A15" s="20" t="s">
        <v>820</v>
      </c>
      <c r="B15" s="16">
        <v>28</v>
      </c>
      <c r="C15" s="16">
        <v>19.5</v>
      </c>
      <c r="D15" s="16">
        <v>0.5</v>
      </c>
      <c r="E15" s="16">
        <v>24</v>
      </c>
      <c r="F15" s="16">
        <v>2.5</v>
      </c>
      <c r="G15" s="16">
        <v>3.5</v>
      </c>
      <c r="H15" s="16">
        <v>1.2</v>
      </c>
      <c r="I15" s="16">
        <v>12500</v>
      </c>
      <c r="J15" s="16">
        <v>10400</v>
      </c>
      <c r="K15" s="16">
        <v>300</v>
      </c>
      <c r="L15" s="16">
        <v>250</v>
      </c>
      <c r="M15" s="16">
        <v>650</v>
      </c>
      <c r="N15" s="16">
        <v>540</v>
      </c>
      <c r="O15" s="16">
        <v>65</v>
      </c>
      <c r="P15" s="16">
        <v>54</v>
      </c>
      <c r="Q15" s="16">
        <v>390</v>
      </c>
      <c r="R15" s="16">
        <v>420</v>
      </c>
      <c r="S15" s="16">
        <f>IF(LEFT(TimberType[[#This Row],[Classe]])="GL",IF(Input!$I$5=RefText_DB!$B$4,1.25,1.45),IF(Input!$I$5=RefText_DB!$B$4,1.3,1.5))</f>
        <v>1.3</v>
      </c>
      <c r="T15"/>
    </row>
    <row r="16" spans="1:20" ht="15">
      <c r="A16" s="20" t="s">
        <v>821</v>
      </c>
      <c r="B16" s="16">
        <v>30</v>
      </c>
      <c r="C16" s="16">
        <v>19.5</v>
      </c>
      <c r="D16" s="16">
        <v>0.5</v>
      </c>
      <c r="E16" s="16">
        <v>24.5</v>
      </c>
      <c r="F16" s="16">
        <v>2.5</v>
      </c>
      <c r="G16" s="16">
        <v>3.5</v>
      </c>
      <c r="H16" s="16">
        <v>1.2</v>
      </c>
      <c r="I16" s="16">
        <v>13000</v>
      </c>
      <c r="J16" s="16">
        <v>10800</v>
      </c>
      <c r="K16" s="16">
        <v>300</v>
      </c>
      <c r="L16" s="16">
        <v>250</v>
      </c>
      <c r="M16" s="16">
        <v>650</v>
      </c>
      <c r="N16" s="16">
        <v>540</v>
      </c>
      <c r="O16" s="16">
        <v>65</v>
      </c>
      <c r="P16" s="16">
        <v>54</v>
      </c>
      <c r="Q16" s="16">
        <v>390</v>
      </c>
      <c r="R16" s="16">
        <v>430</v>
      </c>
      <c r="S16" s="16">
        <f>IF(LEFT(TimberType[[#This Row],[Classe]])="GL",IF(Input!$I$5=RefText_DB!$B$4,1.25,1.45),IF(Input!$I$5=RefText_DB!$B$4,1.3,1.5))</f>
        <v>1.3</v>
      </c>
      <c r="T16"/>
    </row>
    <row r="17" spans="1:20" ht="15">
      <c r="A17" s="20" t="s">
        <v>822</v>
      </c>
      <c r="B17" s="16">
        <v>32</v>
      </c>
      <c r="C17" s="16">
        <v>19.5</v>
      </c>
      <c r="D17" s="16">
        <v>0.5</v>
      </c>
      <c r="E17" s="16">
        <v>24.5</v>
      </c>
      <c r="F17" s="16">
        <v>2.5</v>
      </c>
      <c r="G17" s="16">
        <v>3.5</v>
      </c>
      <c r="H17" s="16">
        <v>1.2</v>
      </c>
      <c r="I17" s="16">
        <v>13500</v>
      </c>
      <c r="J17" s="16">
        <v>11200</v>
      </c>
      <c r="K17" s="16">
        <v>300</v>
      </c>
      <c r="L17" s="16">
        <v>250</v>
      </c>
      <c r="M17" s="16">
        <v>650</v>
      </c>
      <c r="N17" s="16">
        <v>540</v>
      </c>
      <c r="O17" s="16">
        <v>65</v>
      </c>
      <c r="P17" s="16">
        <v>54</v>
      </c>
      <c r="Q17" s="16">
        <v>400</v>
      </c>
      <c r="R17" s="16">
        <v>440</v>
      </c>
      <c r="S17" s="16">
        <f>IF(LEFT(TimberType[[#This Row],[Classe]])="GL",IF(Input!$I$5=RefText_DB!$B$4,1.25,1.45),IF(Input!$I$5=RefText_DB!$B$4,1.3,1.5))</f>
        <v>1.3</v>
      </c>
      <c r="T17"/>
    </row>
    <row r="18" spans="1:20" ht="15">
      <c r="A18" s="20" t="s">
        <v>823</v>
      </c>
      <c r="B18" s="16">
        <v>18</v>
      </c>
      <c r="C18" s="16">
        <v>10</v>
      </c>
      <c r="D18" s="16">
        <v>0.4</v>
      </c>
      <c r="E18" s="16">
        <v>18</v>
      </c>
      <c r="F18" s="16">
        <v>2.2000000000000002</v>
      </c>
      <c r="G18" s="16">
        <v>3.4</v>
      </c>
      <c r="H18" s="16">
        <v>1.2</v>
      </c>
      <c r="I18" s="16">
        <v>9000</v>
      </c>
      <c r="J18" s="16">
        <v>6000</v>
      </c>
      <c r="K18" s="16"/>
      <c r="L18" s="16"/>
      <c r="M18" s="16">
        <v>560</v>
      </c>
      <c r="N18" s="16"/>
      <c r="O18" s="16"/>
      <c r="P18" s="16"/>
      <c r="Q18" s="16">
        <v>320</v>
      </c>
      <c r="R18" s="16">
        <v>380</v>
      </c>
      <c r="S18" s="16">
        <f>IF(LEFT(TimberType[[#This Row],[Classe]])="GL",IF(Input!$I$5=RefText_DB!$B$4,1.25,1.45),IF(Input!$I$5=RefText_DB!$B$4,1.3,1.5))</f>
        <v>1.3</v>
      </c>
      <c r="T18"/>
    </row>
    <row r="19" spans="1:20" ht="15">
      <c r="A19" s="20" t="s">
        <v>824</v>
      </c>
      <c r="B19" s="16">
        <v>20</v>
      </c>
      <c r="C19" s="16">
        <v>11.5</v>
      </c>
      <c r="D19" s="16">
        <v>0.4</v>
      </c>
      <c r="E19" s="16">
        <v>19</v>
      </c>
      <c r="F19" s="16">
        <v>2.2999999999999998</v>
      </c>
      <c r="G19" s="16">
        <v>3.6</v>
      </c>
      <c r="H19" s="16">
        <v>1.2</v>
      </c>
      <c r="I19" s="16">
        <v>9500</v>
      </c>
      <c r="J19" s="16">
        <v>6400</v>
      </c>
      <c r="K19" s="16"/>
      <c r="L19" s="16"/>
      <c r="M19" s="16">
        <v>590</v>
      </c>
      <c r="N19" s="16"/>
      <c r="O19" s="16"/>
      <c r="P19" s="16"/>
      <c r="Q19" s="16">
        <v>330</v>
      </c>
      <c r="R19" s="16">
        <v>400</v>
      </c>
      <c r="S19" s="16">
        <f>IF(LEFT(TimberType[[#This Row],[Classe]])="GL",IF(Input!$I$5=RefText_DB!$B$4,1.25,1.45),IF(Input!$I$5=RefText_DB!$B$4,1.3,1.5))</f>
        <v>1.3</v>
      </c>
      <c r="T19"/>
    </row>
    <row r="20" spans="1:20" ht="15">
      <c r="A20" s="20" t="s">
        <v>825</v>
      </c>
      <c r="B20" s="16">
        <v>22</v>
      </c>
      <c r="C20" s="16">
        <v>13</v>
      </c>
      <c r="D20" s="16">
        <v>0.4</v>
      </c>
      <c r="E20" s="16">
        <v>20</v>
      </c>
      <c r="F20" s="16">
        <v>2.4</v>
      </c>
      <c r="G20" s="16">
        <v>3.8</v>
      </c>
      <c r="H20" s="16">
        <v>1.2</v>
      </c>
      <c r="I20" s="16">
        <v>10000</v>
      </c>
      <c r="J20" s="16">
        <v>6700</v>
      </c>
      <c r="K20" s="16"/>
      <c r="L20" s="16"/>
      <c r="M20" s="16">
        <v>630</v>
      </c>
      <c r="N20" s="16"/>
      <c r="O20" s="16"/>
      <c r="P20" s="16"/>
      <c r="Q20" s="16">
        <v>340</v>
      </c>
      <c r="R20" s="16">
        <v>410</v>
      </c>
      <c r="S20" s="16">
        <f>IF(LEFT(TimberType[[#This Row],[Classe]])="GL",IF(Input!$I$5=RefText_DB!$B$4,1.25,1.45),IF(Input!$I$5=RefText_DB!$B$4,1.3,1.5))</f>
        <v>1.3</v>
      </c>
      <c r="T20"/>
    </row>
    <row r="21" spans="1:20" ht="15">
      <c r="A21" s="20" t="s">
        <v>555</v>
      </c>
      <c r="B21" s="16">
        <v>24</v>
      </c>
      <c r="C21" s="16">
        <v>14.5</v>
      </c>
      <c r="D21" s="16">
        <v>0.4</v>
      </c>
      <c r="E21" s="16">
        <v>21</v>
      </c>
      <c r="F21" s="16">
        <v>2.5</v>
      </c>
      <c r="G21" s="16">
        <v>4</v>
      </c>
      <c r="H21" s="16">
        <v>1.2</v>
      </c>
      <c r="I21" s="16">
        <v>11000</v>
      </c>
      <c r="J21" s="16">
        <v>7400</v>
      </c>
      <c r="K21" s="16">
        <v>370</v>
      </c>
      <c r="L21" s="16"/>
      <c r="M21" s="16">
        <v>690</v>
      </c>
      <c r="N21" s="16"/>
      <c r="O21" s="16"/>
      <c r="P21" s="16"/>
      <c r="Q21" s="16">
        <v>350</v>
      </c>
      <c r="R21" s="16">
        <v>420</v>
      </c>
      <c r="S21" s="16">
        <f>IF(LEFT(TimberType[[#This Row],[Classe]])="GL",IF(Input!$I$5=RefText_DB!$B$4,1.25,1.45),IF(Input!$I$5=RefText_DB!$B$4,1.3,1.5))</f>
        <v>1.3</v>
      </c>
      <c r="T21"/>
    </row>
    <row r="22" spans="1:20" ht="15">
      <c r="A22" s="20" t="s">
        <v>826</v>
      </c>
      <c r="B22" s="16">
        <v>27</v>
      </c>
      <c r="C22" s="16">
        <v>16.5</v>
      </c>
      <c r="D22" s="16">
        <v>0.4</v>
      </c>
      <c r="E22" s="16">
        <v>22</v>
      </c>
      <c r="F22" s="16">
        <v>2.5</v>
      </c>
      <c r="G22" s="16">
        <v>4</v>
      </c>
      <c r="H22" s="16">
        <v>1.2</v>
      </c>
      <c r="I22" s="16">
        <v>11500</v>
      </c>
      <c r="J22" s="16">
        <v>7700</v>
      </c>
      <c r="K22" s="16"/>
      <c r="L22" s="16"/>
      <c r="M22" s="16">
        <v>720</v>
      </c>
      <c r="N22" s="16"/>
      <c r="O22" s="16"/>
      <c r="P22" s="16"/>
      <c r="Q22" s="16">
        <v>360</v>
      </c>
      <c r="R22" s="16">
        <v>430</v>
      </c>
      <c r="S22" s="16">
        <f>IF(LEFT(TimberType[[#This Row],[Classe]])="GL",IF(Input!$I$5=RefText_DB!$B$4,1.25,1.45),IF(Input!$I$5=RefText_DB!$B$4,1.3,1.5))</f>
        <v>1.3</v>
      </c>
      <c r="T22"/>
    </row>
    <row r="23" spans="1:20" ht="15">
      <c r="A23" s="20" t="s">
        <v>827</v>
      </c>
      <c r="B23" s="16">
        <v>30</v>
      </c>
      <c r="C23" s="16">
        <v>19</v>
      </c>
      <c r="D23" s="16">
        <v>0.4</v>
      </c>
      <c r="E23" s="16">
        <v>24</v>
      </c>
      <c r="F23" s="16">
        <v>2.7</v>
      </c>
      <c r="G23" s="16">
        <v>4</v>
      </c>
      <c r="H23" s="16">
        <v>1.2</v>
      </c>
      <c r="I23" s="16">
        <v>12000</v>
      </c>
      <c r="J23" s="16">
        <v>8000</v>
      </c>
      <c r="K23" s="16">
        <v>400</v>
      </c>
      <c r="L23" s="16"/>
      <c r="M23" s="16">
        <v>750</v>
      </c>
      <c r="N23" s="16"/>
      <c r="O23" s="16"/>
      <c r="P23" s="16"/>
      <c r="Q23" s="16">
        <v>380</v>
      </c>
      <c r="R23" s="16">
        <v>460</v>
      </c>
      <c r="S23" s="16">
        <f>IF(LEFT(TimberType[[#This Row],[Classe]])="GL",IF(Input!$I$5=RefText_DB!$B$4,1.25,1.45),IF(Input!$I$5=RefText_DB!$B$4,1.3,1.5))</f>
        <v>1.3</v>
      </c>
      <c r="T23"/>
    </row>
    <row r="24" spans="1:20" ht="15">
      <c r="A24" s="20" t="s">
        <v>828</v>
      </c>
      <c r="B24" s="16">
        <v>24</v>
      </c>
      <c r="C24" s="16">
        <v>14</v>
      </c>
      <c r="D24" s="16">
        <v>0.6</v>
      </c>
      <c r="E24" s="16">
        <v>21</v>
      </c>
      <c r="F24" s="16">
        <v>4.9000000000000004</v>
      </c>
      <c r="G24" s="16">
        <v>3.7</v>
      </c>
      <c r="H24" s="16">
        <v>1.2</v>
      </c>
      <c r="I24" s="16">
        <v>10000</v>
      </c>
      <c r="J24" s="16">
        <v>8400</v>
      </c>
      <c r="K24" s="16"/>
      <c r="L24" s="16"/>
      <c r="M24" s="16">
        <v>630</v>
      </c>
      <c r="N24" s="16"/>
      <c r="O24" s="16"/>
      <c r="P24" s="16"/>
      <c r="Q24" s="16">
        <v>485</v>
      </c>
      <c r="R24" s="16">
        <v>580</v>
      </c>
      <c r="S24" s="16">
        <f>IF(LEFT(TimberType[[#This Row],[Classe]])="GL",IF(Input!$I$5=RefText_DB!$B$4,1.25,1.45),IF(Input!$I$5=RefText_DB!$B$4,1.3,1.5))</f>
        <v>1.3</v>
      </c>
      <c r="T24"/>
    </row>
    <row r="25" spans="1:20" ht="15">
      <c r="A25" s="20" t="s">
        <v>829</v>
      </c>
      <c r="B25" s="16">
        <v>30</v>
      </c>
      <c r="C25" s="16">
        <v>18</v>
      </c>
      <c r="D25" s="16">
        <v>0.6</v>
      </c>
      <c r="E25" s="16">
        <v>24</v>
      </c>
      <c r="F25" s="16">
        <v>5.3</v>
      </c>
      <c r="G25" s="16">
        <v>3.9</v>
      </c>
      <c r="H25" s="16">
        <v>1.2</v>
      </c>
      <c r="I25" s="16">
        <v>11000</v>
      </c>
      <c r="J25" s="16">
        <v>9200</v>
      </c>
      <c r="K25" s="16"/>
      <c r="L25" s="16"/>
      <c r="M25" s="16">
        <v>690</v>
      </c>
      <c r="N25" s="16"/>
      <c r="O25" s="16"/>
      <c r="P25" s="16"/>
      <c r="Q25" s="16">
        <v>530</v>
      </c>
      <c r="R25" s="16">
        <v>640</v>
      </c>
      <c r="S25" s="16">
        <f>IF(LEFT(TimberType[[#This Row],[Classe]])="GL",IF(Input!$I$5=RefText_DB!$B$4,1.25,1.45),IF(Input!$I$5=RefText_DB!$B$4,1.3,1.5))</f>
        <v>1.3</v>
      </c>
      <c r="T25"/>
    </row>
    <row r="26" spans="1:20" ht="15">
      <c r="A26" s="20" t="s">
        <v>830</v>
      </c>
      <c r="B26" s="16">
        <v>28</v>
      </c>
      <c r="C26" s="16">
        <v>17</v>
      </c>
      <c r="D26" s="16">
        <v>0.5</v>
      </c>
      <c r="E26" s="16">
        <v>22</v>
      </c>
      <c r="F26" s="16">
        <v>3.8</v>
      </c>
      <c r="G26" s="16">
        <v>2</v>
      </c>
      <c r="H26" s="16">
        <v>1.2</v>
      </c>
      <c r="I26" s="16">
        <v>11000</v>
      </c>
      <c r="J26" s="16">
        <v>8000</v>
      </c>
      <c r="K26" s="16"/>
      <c r="L26" s="16"/>
      <c r="M26" s="16">
        <v>950</v>
      </c>
      <c r="N26" s="16"/>
      <c r="O26" s="16"/>
      <c r="P26" s="16"/>
      <c r="Q26" s="16">
        <v>465</v>
      </c>
      <c r="R26" s="16">
        <v>550</v>
      </c>
      <c r="S26" s="16">
        <f>IF(LEFT(TimberType[[#This Row],[Classe]])="GL",IF(Input!$I$5=RefText_DB!$B$4,1.25,1.45),IF(Input!$I$5=RefText_DB!$B$4,1.3,1.5))</f>
        <v>1.3</v>
      </c>
      <c r="T26"/>
    </row>
    <row r="27" spans="1:20" ht="15">
      <c r="A27" s="20" t="s">
        <v>831</v>
      </c>
      <c r="B27" s="16">
        <v>42</v>
      </c>
      <c r="C27" s="16">
        <v>25</v>
      </c>
      <c r="D27" s="16">
        <v>0.8</v>
      </c>
      <c r="E27" s="16">
        <v>27</v>
      </c>
      <c r="F27" s="16">
        <v>5.7</v>
      </c>
      <c r="G27" s="16">
        <v>4</v>
      </c>
      <c r="H27" s="16">
        <v>1.2</v>
      </c>
      <c r="I27" s="16">
        <v>12000</v>
      </c>
      <c r="J27" s="16">
        <v>10100</v>
      </c>
      <c r="K27" s="16"/>
      <c r="L27" s="16"/>
      <c r="M27" s="16">
        <v>750</v>
      </c>
      <c r="N27" s="16"/>
      <c r="O27" s="16"/>
      <c r="P27" s="16"/>
      <c r="Q27" s="16">
        <v>760</v>
      </c>
      <c r="R27" s="16">
        <v>825</v>
      </c>
      <c r="S27" s="16">
        <f>IF(LEFT(TimberType[[#This Row],[Classe]])="GL",IF(Input!$I$5=RefText_DB!$B$4,1.25,1.45),IF(Input!$I$5=RefText_DB!$B$4,1.3,1.5))</f>
        <v>1.3</v>
      </c>
      <c r="T27"/>
    </row>
    <row r="28" spans="1:20" ht="15">
      <c r="A28" s="20" t="s">
        <v>832</v>
      </c>
      <c r="B28" s="16">
        <v>26</v>
      </c>
      <c r="C28" s="16">
        <v>16</v>
      </c>
      <c r="D28" s="16">
        <v>0.4</v>
      </c>
      <c r="E28" s="16">
        <v>22</v>
      </c>
      <c r="F28" s="16">
        <v>3.2</v>
      </c>
      <c r="G28" s="16">
        <v>2.7</v>
      </c>
      <c r="H28" s="16">
        <v>1.2</v>
      </c>
      <c r="I28" s="16">
        <v>8000</v>
      </c>
      <c r="J28" s="16">
        <v>6700</v>
      </c>
      <c r="K28" s="16"/>
      <c r="L28" s="16"/>
      <c r="M28" s="16">
        <v>500</v>
      </c>
      <c r="N28" s="16"/>
      <c r="O28" s="16"/>
      <c r="P28" s="16"/>
      <c r="Q28" s="16">
        <v>420</v>
      </c>
      <c r="R28" s="16">
        <v>460</v>
      </c>
      <c r="S28" s="16">
        <f>IF(LEFT(TimberType[[#This Row],[Classe]])="GL",IF(Input!$I$5=RefText_DB!$B$4,1.25,1.45),IF(Input!$I$5=RefText_DB!$B$4,1.3,1.5))</f>
        <v>1.3</v>
      </c>
      <c r="T28"/>
    </row>
    <row r="29" spans="1:20" ht="15">
      <c r="A29" s="20" t="s">
        <v>833</v>
      </c>
      <c r="B29" s="16">
        <v>27</v>
      </c>
      <c r="C29" s="16">
        <v>16</v>
      </c>
      <c r="D29" s="16">
        <v>0.5</v>
      </c>
      <c r="E29" s="16">
        <v>22</v>
      </c>
      <c r="F29" s="16">
        <v>3.9</v>
      </c>
      <c r="G29" s="16">
        <v>2</v>
      </c>
      <c r="H29" s="16">
        <v>1.2</v>
      </c>
      <c r="I29" s="16">
        <v>11500</v>
      </c>
      <c r="J29" s="16">
        <v>8400</v>
      </c>
      <c r="K29" s="16"/>
      <c r="L29" s="16"/>
      <c r="M29" s="16">
        <v>720</v>
      </c>
      <c r="N29" s="16"/>
      <c r="O29" s="16"/>
      <c r="P29" s="16"/>
      <c r="Q29" s="16">
        <v>515</v>
      </c>
      <c r="R29" s="16">
        <v>560</v>
      </c>
      <c r="S29" s="16">
        <f>IF(LEFT(TimberType[[#This Row],[Classe]])="GL",IF(Input!$I$5=RefText_DB!$B$4,1.25,1.45),IF(Input!$I$5=RefText_DB!$B$4,1.3,1.5))</f>
        <v>1.3</v>
      </c>
      <c r="T29"/>
    </row>
    <row r="30" spans="1:20" ht="15">
      <c r="A30" s="20" t="s">
        <v>834</v>
      </c>
      <c r="B30" s="16">
        <v>29</v>
      </c>
      <c r="C30" s="16">
        <v>17</v>
      </c>
      <c r="D30" s="16">
        <v>0.4</v>
      </c>
      <c r="E30" s="16">
        <v>23</v>
      </c>
      <c r="F30" s="16">
        <v>2.9</v>
      </c>
      <c r="G30" s="16">
        <v>3</v>
      </c>
      <c r="H30" s="16">
        <v>1.2</v>
      </c>
      <c r="I30" s="16">
        <v>12000</v>
      </c>
      <c r="J30" s="16">
        <v>8000</v>
      </c>
      <c r="K30" s="16"/>
      <c r="L30" s="16"/>
      <c r="M30" s="16">
        <v>750</v>
      </c>
      <c r="N30" s="16"/>
      <c r="O30" s="16"/>
      <c r="P30" s="16"/>
      <c r="Q30" s="16">
        <v>380</v>
      </c>
      <c r="R30" s="16">
        <v>415</v>
      </c>
      <c r="S30" s="16">
        <f>IF(LEFT(TimberType[[#This Row],[Classe]])="GL",IF(Input!$I$5=RefText_DB!$B$4,1.25,1.45),IF(Input!$I$5=RefText_DB!$B$4,1.3,1.5))</f>
        <v>1.3</v>
      </c>
      <c r="T30"/>
    </row>
    <row r="31" spans="1:20" ht="15">
      <c r="A31" s="20" t="s">
        <v>835</v>
      </c>
      <c r="B31" s="16">
        <v>23</v>
      </c>
      <c r="C31" s="16">
        <v>14</v>
      </c>
      <c r="D31" s="16">
        <v>0.4</v>
      </c>
      <c r="E31" s="16">
        <v>20</v>
      </c>
      <c r="F31" s="16">
        <v>2.9</v>
      </c>
      <c r="G31" s="16">
        <v>2.5</v>
      </c>
      <c r="H31" s="16">
        <v>1.2</v>
      </c>
      <c r="I31" s="16">
        <v>10500</v>
      </c>
      <c r="J31" s="16">
        <v>7000</v>
      </c>
      <c r="K31" s="16"/>
      <c r="L31" s="16"/>
      <c r="M31" s="16">
        <v>660</v>
      </c>
      <c r="N31" s="16"/>
      <c r="O31" s="16"/>
      <c r="P31" s="16"/>
      <c r="Q31" s="16">
        <v>380</v>
      </c>
      <c r="R31" s="16">
        <v>415</v>
      </c>
      <c r="S31" s="16">
        <f>IF(LEFT(TimberType[[#This Row],[Classe]])="GL",IF(Input!$I$5=RefText_DB!$B$4,1.25,1.45),IF(Input!$I$5=RefText_DB!$B$4,1.3,1.5))</f>
        <v>1.3</v>
      </c>
      <c r="T31"/>
    </row>
    <row r="32" spans="1:20" ht="15">
      <c r="A32" s="20" t="s">
        <v>836</v>
      </c>
      <c r="B32" s="16">
        <v>17</v>
      </c>
      <c r="C32" s="16">
        <v>10</v>
      </c>
      <c r="D32" s="16">
        <v>0.4</v>
      </c>
      <c r="E32" s="16">
        <v>18</v>
      </c>
      <c r="F32" s="16">
        <v>2.9</v>
      </c>
      <c r="G32" s="16">
        <v>1.9</v>
      </c>
      <c r="H32" s="16">
        <v>1.2</v>
      </c>
      <c r="I32" s="16">
        <v>9500</v>
      </c>
      <c r="J32" s="16">
        <v>6400</v>
      </c>
      <c r="K32" s="16"/>
      <c r="L32" s="16"/>
      <c r="M32" s="16">
        <v>590</v>
      </c>
      <c r="N32" s="16"/>
      <c r="O32" s="16"/>
      <c r="P32" s="16"/>
      <c r="Q32" s="16">
        <v>380</v>
      </c>
      <c r="R32" s="16">
        <v>415</v>
      </c>
      <c r="S32" s="16">
        <f>IF(LEFT(TimberType[[#This Row],[Classe]])="GL",IF(Input!$I$5=RefText_DB!$B$4,1.25,1.45),IF(Input!$I$5=RefText_DB!$B$4,1.3,1.5))</f>
        <v>1.3</v>
      </c>
      <c r="T32"/>
    </row>
    <row r="33" spans="1:20" ht="15">
      <c r="A33" s="20" t="s">
        <v>837</v>
      </c>
      <c r="B33" s="16">
        <v>32</v>
      </c>
      <c r="C33" s="16">
        <v>19</v>
      </c>
      <c r="D33" s="16">
        <v>0.3</v>
      </c>
      <c r="E33" s="16">
        <v>24</v>
      </c>
      <c r="F33" s="16">
        <v>2.1</v>
      </c>
      <c r="G33" s="16">
        <v>3.2</v>
      </c>
      <c r="H33" s="16">
        <v>1.2</v>
      </c>
      <c r="I33" s="16">
        <v>11000</v>
      </c>
      <c r="J33" s="16">
        <v>7400</v>
      </c>
      <c r="K33" s="16"/>
      <c r="L33" s="16"/>
      <c r="M33" s="16">
        <v>690</v>
      </c>
      <c r="N33" s="16"/>
      <c r="O33" s="16"/>
      <c r="P33" s="16"/>
      <c r="Q33" s="16">
        <v>280</v>
      </c>
      <c r="R33" s="16">
        <v>305</v>
      </c>
      <c r="S33" s="16">
        <f>IF(LEFT(TimberType[[#This Row],[Classe]])="GL",IF(Input!$I$5=RefText_DB!$B$4,1.25,1.45),IF(Input!$I$5=RefText_DB!$B$4,1.3,1.5))</f>
        <v>1.3</v>
      </c>
      <c r="T33"/>
    </row>
    <row r="34" spans="1:20" ht="15">
      <c r="A34" s="20" t="s">
        <v>838</v>
      </c>
      <c r="B34" s="16">
        <v>28</v>
      </c>
      <c r="C34" s="16">
        <v>17</v>
      </c>
      <c r="D34" s="16">
        <v>0.3</v>
      </c>
      <c r="E34" s="16">
        <v>22</v>
      </c>
      <c r="F34" s="16">
        <v>2.1</v>
      </c>
      <c r="G34" s="16">
        <v>2.9</v>
      </c>
      <c r="H34" s="16">
        <v>1.2</v>
      </c>
      <c r="I34" s="16">
        <v>10000</v>
      </c>
      <c r="J34" s="16">
        <v>6700</v>
      </c>
      <c r="K34" s="16"/>
      <c r="L34" s="16"/>
      <c r="M34" s="16">
        <v>630</v>
      </c>
      <c r="N34" s="16"/>
      <c r="O34" s="16"/>
      <c r="P34" s="16"/>
      <c r="Q34" s="16">
        <v>280</v>
      </c>
      <c r="R34" s="16">
        <v>305</v>
      </c>
      <c r="S34" s="16">
        <f>IF(LEFT(TimberType[[#This Row],[Classe]])="GL",IF(Input!$I$5=RefText_DB!$B$4,1.25,1.45),IF(Input!$I$5=RefText_DB!$B$4,1.3,1.5))</f>
        <v>1.3</v>
      </c>
      <c r="T34"/>
    </row>
    <row r="35" spans="1:20" ht="15">
      <c r="A35" s="20" t="s">
        <v>839</v>
      </c>
      <c r="B35" s="16">
        <v>21</v>
      </c>
      <c r="C35" s="16">
        <v>13</v>
      </c>
      <c r="D35" s="16">
        <v>0.3</v>
      </c>
      <c r="E35" s="16">
        <v>20</v>
      </c>
      <c r="F35" s="16">
        <v>2.1</v>
      </c>
      <c r="G35" s="16">
        <v>2.2999999999999998</v>
      </c>
      <c r="H35" s="16">
        <v>1.2</v>
      </c>
      <c r="I35" s="16">
        <v>9500</v>
      </c>
      <c r="J35" s="16">
        <v>6400</v>
      </c>
      <c r="K35" s="16"/>
      <c r="L35" s="16"/>
      <c r="M35" s="16">
        <v>590</v>
      </c>
      <c r="N35" s="16"/>
      <c r="O35" s="16"/>
      <c r="P35" s="16"/>
      <c r="Q35" s="16">
        <v>280</v>
      </c>
      <c r="R35" s="16">
        <v>305</v>
      </c>
      <c r="S35" s="16">
        <f>IF(LEFT(TimberType[[#This Row],[Classe]])="GL",IF(Input!$I$5=RefText_DB!$B$4,1.25,1.45),IF(Input!$I$5=RefText_DB!$B$4,1.3,1.5))</f>
        <v>1.3</v>
      </c>
      <c r="T35"/>
    </row>
    <row r="36" spans="1:20" ht="15">
      <c r="A36" s="20" t="s">
        <v>840</v>
      </c>
      <c r="B36" s="16">
        <v>42</v>
      </c>
      <c r="C36" s="16">
        <v>25</v>
      </c>
      <c r="D36" s="16">
        <v>0.6</v>
      </c>
      <c r="E36" s="16">
        <v>27</v>
      </c>
      <c r="F36" s="16">
        <v>4</v>
      </c>
      <c r="G36" s="16">
        <v>4</v>
      </c>
      <c r="H36" s="16">
        <v>1.2</v>
      </c>
      <c r="I36" s="16">
        <v>13000</v>
      </c>
      <c r="J36" s="16">
        <v>8700</v>
      </c>
      <c r="K36" s="16"/>
      <c r="L36" s="16"/>
      <c r="M36" s="16">
        <v>810</v>
      </c>
      <c r="N36" s="16"/>
      <c r="O36" s="16"/>
      <c r="P36" s="16"/>
      <c r="Q36" s="16">
        <v>550</v>
      </c>
      <c r="R36" s="16">
        <v>600</v>
      </c>
      <c r="S36" s="16">
        <f>IF(LEFT(TimberType[[#This Row],[Classe]])="GL",IF(Input!$I$5=RefText_DB!$B$4,1.25,1.45),IF(Input!$I$5=RefText_DB!$B$4,1.3,1.5))</f>
        <v>1.3</v>
      </c>
      <c r="T36"/>
    </row>
    <row r="37" spans="1:20" ht="15">
      <c r="A37" s="20" t="s">
        <v>841</v>
      </c>
      <c r="B37" s="16">
        <v>32</v>
      </c>
      <c r="C37" s="16">
        <v>19</v>
      </c>
      <c r="D37" s="16">
        <v>0.6</v>
      </c>
      <c r="E37" s="16">
        <v>24</v>
      </c>
      <c r="F37" s="16">
        <v>4</v>
      </c>
      <c r="G37" s="16">
        <v>3.2</v>
      </c>
      <c r="H37" s="16">
        <v>1.2</v>
      </c>
      <c r="I37" s="16">
        <v>12000</v>
      </c>
      <c r="J37" s="16">
        <v>8000</v>
      </c>
      <c r="K37" s="16"/>
      <c r="L37" s="16"/>
      <c r="M37" s="16">
        <v>750</v>
      </c>
      <c r="N37" s="16"/>
      <c r="O37" s="16"/>
      <c r="P37" s="16"/>
      <c r="Q37" s="16">
        <v>550</v>
      </c>
      <c r="R37" s="16">
        <v>600</v>
      </c>
      <c r="S37" s="16">
        <f>IF(LEFT(TimberType[[#This Row],[Classe]])="GL",IF(Input!$I$5=RefText_DB!$B$4,1.25,1.45),IF(Input!$I$5=RefText_DB!$B$4,1.3,1.5))</f>
        <v>1.3</v>
      </c>
      <c r="T37"/>
    </row>
    <row r="38" spans="1:20" ht="15">
      <c r="A38" s="20" t="s">
        <v>842</v>
      </c>
      <c r="B38" s="16">
        <v>26</v>
      </c>
      <c r="C38" s="16">
        <v>16</v>
      </c>
      <c r="D38" s="16">
        <v>0.6</v>
      </c>
      <c r="E38" s="16">
        <v>22</v>
      </c>
      <c r="F38" s="16">
        <v>4</v>
      </c>
      <c r="G38" s="16">
        <v>2.7</v>
      </c>
      <c r="H38" s="16">
        <v>1.2</v>
      </c>
      <c r="I38" s="16">
        <v>11500</v>
      </c>
      <c r="J38" s="16">
        <v>7700</v>
      </c>
      <c r="K38" s="16"/>
      <c r="L38" s="16"/>
      <c r="M38" s="16">
        <v>720</v>
      </c>
      <c r="N38" s="16"/>
      <c r="O38" s="16"/>
      <c r="P38" s="16"/>
      <c r="Q38" s="16">
        <v>550</v>
      </c>
      <c r="R38" s="16">
        <v>600</v>
      </c>
      <c r="S38" s="16">
        <f>IF(LEFT(TimberType[[#This Row],[Classe]])="GL",IF(Input!$I$5=RefText_DB!$B$4,1.25,1.45),IF(Input!$I$5=RefText_DB!$B$4,1.3,1.5))</f>
        <v>1.3</v>
      </c>
      <c r="T38"/>
    </row>
    <row r="39" spans="1:20" ht="15">
      <c r="A39" s="20" t="s">
        <v>843</v>
      </c>
      <c r="B39" s="16">
        <v>40</v>
      </c>
      <c r="C39" s="16">
        <v>24</v>
      </c>
      <c r="D39" s="16">
        <v>0.4</v>
      </c>
      <c r="E39" s="16">
        <v>26</v>
      </c>
      <c r="F39" s="16">
        <v>2.6</v>
      </c>
      <c r="G39" s="16">
        <v>4</v>
      </c>
      <c r="H39" s="16">
        <v>1.2</v>
      </c>
      <c r="I39" s="16">
        <v>14000</v>
      </c>
      <c r="J39" s="16">
        <v>9400</v>
      </c>
      <c r="K39" s="16"/>
      <c r="L39" s="16"/>
      <c r="M39" s="16">
        <v>880</v>
      </c>
      <c r="N39" s="16"/>
      <c r="O39" s="16"/>
      <c r="P39" s="16"/>
      <c r="Q39" s="16">
        <v>400</v>
      </c>
      <c r="R39" s="16">
        <v>435</v>
      </c>
      <c r="S39" s="16">
        <f>IF(LEFT(TimberType[[#This Row],[Classe]])="GL",IF(Input!$I$5=RefText_DB!$B$4,1.25,1.45),IF(Input!$I$5=RefText_DB!$B$4,1.3,1.5))</f>
        <v>1.3</v>
      </c>
      <c r="T39"/>
    </row>
    <row r="40" spans="1:20" ht="15">
      <c r="A40" s="20" t="s">
        <v>844</v>
      </c>
      <c r="B40" s="16">
        <v>23</v>
      </c>
      <c r="C40" s="16">
        <v>14</v>
      </c>
      <c r="D40" s="16">
        <v>0.4</v>
      </c>
      <c r="E40" s="16">
        <v>20</v>
      </c>
      <c r="F40" s="16">
        <v>2.6</v>
      </c>
      <c r="G40" s="16">
        <v>3.4</v>
      </c>
      <c r="H40" s="16">
        <v>1.2</v>
      </c>
      <c r="I40" s="16">
        <v>12500</v>
      </c>
      <c r="J40" s="16">
        <v>8400</v>
      </c>
      <c r="K40" s="16"/>
      <c r="L40" s="16"/>
      <c r="M40" s="16">
        <v>780</v>
      </c>
      <c r="N40" s="16"/>
      <c r="O40" s="16"/>
      <c r="P40" s="16"/>
      <c r="Q40" s="16">
        <v>420</v>
      </c>
      <c r="R40" s="16">
        <v>455</v>
      </c>
      <c r="S40" s="16">
        <f>IF(LEFT(TimberType[[#This Row],[Classe]])="GL",IF(Input!$I$5=RefText_DB!$B$4,1.25,1.45),IF(Input!$I$5=RefText_DB!$B$4,1.3,1.5))</f>
        <v>1.3</v>
      </c>
      <c r="T40"/>
    </row>
    <row r="41" spans="1:20" ht="15">
      <c r="A41" s="20" t="s">
        <v>845</v>
      </c>
      <c r="B41" s="16">
        <v>33</v>
      </c>
      <c r="C41" s="16">
        <v>20</v>
      </c>
      <c r="D41" s="16">
        <v>0.5</v>
      </c>
      <c r="E41" s="16">
        <v>24</v>
      </c>
      <c r="F41" s="16">
        <v>4</v>
      </c>
      <c r="G41" s="16">
        <v>3.3</v>
      </c>
      <c r="H41" s="16">
        <v>1.2</v>
      </c>
      <c r="I41" s="16">
        <v>12300</v>
      </c>
      <c r="J41" s="16">
        <v>8200</v>
      </c>
      <c r="K41" s="16"/>
      <c r="L41" s="16"/>
      <c r="M41" s="16">
        <v>770</v>
      </c>
      <c r="N41" s="16"/>
      <c r="O41" s="16"/>
      <c r="P41" s="16"/>
      <c r="Q41" s="16">
        <v>530</v>
      </c>
      <c r="R41" s="16">
        <v>575</v>
      </c>
      <c r="S41" s="16">
        <f>IF(LEFT(TimberType[[#This Row],[Classe]])="GL",IF(Input!$I$5=RefText_DB!$B$4,1.25,1.45),IF(Input!$I$5=RefText_DB!$B$4,1.3,1.5))</f>
        <v>1.3</v>
      </c>
      <c r="T41"/>
    </row>
    <row r="42" spans="1:20" ht="15">
      <c r="A42" s="20" t="s">
        <v>846</v>
      </c>
      <c r="B42" s="16">
        <v>26</v>
      </c>
      <c r="C42" s="16">
        <v>16</v>
      </c>
      <c r="D42" s="16">
        <v>0.5</v>
      </c>
      <c r="E42" s="16">
        <v>22</v>
      </c>
      <c r="F42" s="16">
        <v>4</v>
      </c>
      <c r="G42" s="16">
        <v>2.7</v>
      </c>
      <c r="H42" s="16">
        <v>1.2</v>
      </c>
      <c r="I42" s="16">
        <v>11400</v>
      </c>
      <c r="J42" s="16">
        <v>7600</v>
      </c>
      <c r="K42" s="16"/>
      <c r="L42" s="16"/>
      <c r="M42" s="16">
        <v>710</v>
      </c>
      <c r="N42" s="16"/>
      <c r="O42" s="16"/>
      <c r="P42" s="16"/>
      <c r="Q42" s="16">
        <v>530</v>
      </c>
      <c r="R42" s="16">
        <v>575</v>
      </c>
      <c r="S42" s="16">
        <f>IF(LEFT(TimberType[[#This Row],[Classe]])="GL",IF(Input!$I$5=RefText_DB!$B$4,1.25,1.45),IF(Input!$I$5=RefText_DB!$B$4,1.3,1.5))</f>
        <v>1.3</v>
      </c>
      <c r="T42"/>
    </row>
    <row r="43" spans="1:20" ht="15">
      <c r="A43" s="20" t="s">
        <v>847</v>
      </c>
      <c r="B43" s="16">
        <v>22</v>
      </c>
      <c r="C43" s="16">
        <v>13</v>
      </c>
      <c r="D43" s="16">
        <v>0.5</v>
      </c>
      <c r="E43" s="16">
        <v>20</v>
      </c>
      <c r="F43" s="16">
        <v>4</v>
      </c>
      <c r="G43" s="16">
        <v>2.4</v>
      </c>
      <c r="H43" s="16">
        <v>1.2</v>
      </c>
      <c r="I43" s="16">
        <v>10500</v>
      </c>
      <c r="J43" s="16">
        <v>7000</v>
      </c>
      <c r="K43" s="16"/>
      <c r="L43" s="16"/>
      <c r="M43" s="16">
        <v>660</v>
      </c>
      <c r="N43" s="16"/>
      <c r="O43" s="16"/>
      <c r="P43" s="16"/>
      <c r="Q43" s="16">
        <v>530</v>
      </c>
      <c r="R43" s="16">
        <v>575</v>
      </c>
      <c r="S43" s="16">
        <f>IF(LEFT(TimberType[[#This Row],[Classe]])="GL",IF(Input!$I$5=RefText_DB!$B$4,1.25,1.45),IF(Input!$I$5=RefText_DB!$B$4,1.3,1.5))</f>
        <v>1.3</v>
      </c>
      <c r="T43"/>
    </row>
    <row r="45" spans="1:20">
      <c r="A45" s="21" t="s">
        <v>848</v>
      </c>
    </row>
    <row r="46" spans="1:20" ht="79.5">
      <c r="A46" s="29"/>
      <c r="B46" s="30" t="s">
        <v>849</v>
      </c>
      <c r="C46" s="31" t="s">
        <v>850</v>
      </c>
    </row>
    <row r="47" spans="1:20">
      <c r="A47" s="32" t="s">
        <v>851</v>
      </c>
      <c r="B47" s="32">
        <v>2</v>
      </c>
      <c r="C47" s="32">
        <v>0.3</v>
      </c>
      <c r="D47" s="21">
        <v>1</v>
      </c>
    </row>
    <row r="48" spans="1:20">
      <c r="A48" s="32" t="s">
        <v>852</v>
      </c>
      <c r="B48" s="33">
        <v>2</v>
      </c>
      <c r="C48" s="33">
        <v>0.3</v>
      </c>
      <c r="D48" s="21">
        <v>2</v>
      </c>
    </row>
    <row r="49" spans="1:14">
      <c r="A49" s="32" t="s">
        <v>853</v>
      </c>
      <c r="B49" s="33">
        <v>3</v>
      </c>
      <c r="C49" s="33">
        <v>0.3</v>
      </c>
      <c r="D49" s="21">
        <v>3</v>
      </c>
    </row>
    <row r="50" spans="1:14">
      <c r="A50" s="32" t="s">
        <v>854</v>
      </c>
      <c r="B50" s="33">
        <v>3</v>
      </c>
      <c r="C50" s="33">
        <v>0.6</v>
      </c>
      <c r="D50" s="21">
        <v>4</v>
      </c>
    </row>
    <row r="51" spans="1:14" ht="20.25" customHeight="1">
      <c r="A51" s="32" t="s">
        <v>855</v>
      </c>
      <c r="B51" s="33">
        <v>4</v>
      </c>
      <c r="C51" s="33">
        <v>0.6</v>
      </c>
      <c r="D51" s="21">
        <v>5</v>
      </c>
    </row>
    <row r="52" spans="1:14">
      <c r="A52" s="32" t="s">
        <v>856</v>
      </c>
      <c r="B52" s="33">
        <v>5</v>
      </c>
      <c r="C52" s="33">
        <v>0.6</v>
      </c>
      <c r="D52" s="21">
        <v>6</v>
      </c>
    </row>
    <row r="53" spans="1:14">
      <c r="A53" s="32" t="s">
        <v>857</v>
      </c>
      <c r="B53" s="33">
        <v>4</v>
      </c>
      <c r="C53" s="33">
        <v>0.6</v>
      </c>
      <c r="D53" s="21">
        <v>7</v>
      </c>
    </row>
    <row r="54" spans="1:14">
      <c r="A54" s="32" t="s">
        <v>858</v>
      </c>
      <c r="B54" s="33">
        <v>5</v>
      </c>
      <c r="C54" s="33">
        <v>0.6</v>
      </c>
      <c r="D54" s="21">
        <v>8</v>
      </c>
    </row>
    <row r="55" spans="1:14">
      <c r="A55" s="32" t="s">
        <v>859</v>
      </c>
      <c r="B55" s="33">
        <v>6</v>
      </c>
      <c r="C55" s="33">
        <v>0.8</v>
      </c>
      <c r="D55" s="21">
        <v>9</v>
      </c>
    </row>
    <row r="56" spans="1:14">
      <c r="A56" s="32" t="s">
        <v>860</v>
      </c>
      <c r="B56" s="33">
        <v>2.5</v>
      </c>
      <c r="C56" s="33">
        <v>0.6</v>
      </c>
      <c r="D56" s="21">
        <v>10</v>
      </c>
    </row>
    <row r="57" spans="1:14">
      <c r="A57" s="32" t="s">
        <v>861</v>
      </c>
      <c r="B57" s="33">
        <v>0.5</v>
      </c>
      <c r="C57" s="33">
        <v>0</v>
      </c>
      <c r="D57" s="21">
        <v>11</v>
      </c>
    </row>
    <row r="59" spans="1:14">
      <c r="A59" s="34" t="s">
        <v>862</v>
      </c>
    </row>
    <row r="60" spans="1:14" ht="15">
      <c r="A60"/>
      <c r="B60"/>
      <c r="C60"/>
      <c r="D60"/>
      <c r="E60"/>
      <c r="F60"/>
      <c r="G60"/>
    </row>
    <row r="61" spans="1:14" ht="15">
      <c r="A61"/>
      <c r="B61"/>
      <c r="C61"/>
      <c r="D61"/>
      <c r="E61"/>
      <c r="F61"/>
      <c r="G61"/>
    </row>
    <row r="62" spans="1:14" ht="15">
      <c r="A62"/>
      <c r="B62"/>
      <c r="C62"/>
      <c r="D62"/>
      <c r="E62"/>
      <c r="F62"/>
      <c r="G62"/>
      <c r="I62" s="20" t="s">
        <v>863</v>
      </c>
      <c r="J62" s="20" t="s">
        <v>213</v>
      </c>
      <c r="K62" s="20" t="s">
        <v>216</v>
      </c>
      <c r="L62" s="20" t="s">
        <v>221</v>
      </c>
      <c r="M62" s="20" t="s">
        <v>226</v>
      </c>
      <c r="N62" s="20" t="s">
        <v>231</v>
      </c>
    </row>
    <row r="63" spans="1:14" ht="15">
      <c r="A63"/>
      <c r="B63"/>
      <c r="C63"/>
      <c r="D63"/>
      <c r="E63"/>
      <c r="F63"/>
      <c r="G63"/>
      <c r="I63" s="20">
        <v>1</v>
      </c>
      <c r="J63" s="20">
        <f>IF(Input!$I$5="UNI EN 1995:2015",0.6,0.6)</f>
        <v>0.6</v>
      </c>
      <c r="K63" s="20">
        <f>IF(Input!$I$5="UNI EN 1995:2015",0.7,0.7)</f>
        <v>0.7</v>
      </c>
      <c r="L63" s="20">
        <f>IF(Input!$I$5="UNI EN 1995:2015",0.8,0.8)</f>
        <v>0.8</v>
      </c>
      <c r="M63" s="20">
        <f>IF(Input!$I$5="UNI EN 1995:2015",0.9,0.9)</f>
        <v>0.9</v>
      </c>
      <c r="N63" s="20">
        <f>IF(Input!$I$5="UNI EN 1995:2015",1.1,1.1)</f>
        <v>1.1000000000000001</v>
      </c>
    </row>
    <row r="64" spans="1:14" ht="15">
      <c r="A64"/>
      <c r="B64"/>
      <c r="C64"/>
      <c r="D64"/>
      <c r="E64"/>
      <c r="F64"/>
      <c r="G64"/>
      <c r="I64" s="20">
        <v>2</v>
      </c>
      <c r="J64" s="20">
        <f>IF(Input!$I$5="UNI EN 1995:2015",0.6,0.6)</f>
        <v>0.6</v>
      </c>
      <c r="K64" s="20">
        <f>IF(Input!$I$5="UNI EN 1995:2015",0.7,0.7)</f>
        <v>0.7</v>
      </c>
      <c r="L64" s="20">
        <f>IF(Input!$I$5="UNI EN 1995:2015",0.8,0.8)</f>
        <v>0.8</v>
      </c>
      <c r="M64" s="20">
        <f>IF(Input!$I$5="UNI EN 1995:2015",0.9,0.9)</f>
        <v>0.9</v>
      </c>
      <c r="N64" s="20">
        <f>IF(Input!$I$5="UNI EN 1995:2015",1.1,1.1)</f>
        <v>1.1000000000000001</v>
      </c>
    </row>
    <row r="65" spans="1:14" ht="15">
      <c r="A65"/>
      <c r="B65"/>
      <c r="C65"/>
      <c r="D65"/>
      <c r="E65"/>
      <c r="F65"/>
      <c r="G65"/>
      <c r="I65" s="20">
        <v>3</v>
      </c>
      <c r="J65" s="20">
        <f>IF(Input!$I$5="UNI EN 1995:2015",0.5,0.5)</f>
        <v>0.5</v>
      </c>
      <c r="K65" s="20">
        <f>IF(Input!$I$5="UNI EN 1995:2015",0.55,0.55)</f>
        <v>0.55000000000000004</v>
      </c>
      <c r="L65" s="20">
        <f>IF(Input!$I$5="UNI EN 1995:2015",0.65,0.65)</f>
        <v>0.65</v>
      </c>
      <c r="M65" s="20">
        <f>IF(Input!$I$5="UNI EN 1995:2015",0.7,0.7)</f>
        <v>0.7</v>
      </c>
      <c r="N65" s="20">
        <f>IF(Input!$I$5="UNI EN 1995:2015",0.9,0.9)</f>
        <v>0.9</v>
      </c>
    </row>
    <row r="67" spans="1:14" ht="45">
      <c r="A67" s="34" t="s">
        <v>864</v>
      </c>
      <c r="I67" s="20" t="s">
        <v>863</v>
      </c>
      <c r="J67" s="22" t="s">
        <v>865</v>
      </c>
    </row>
    <row r="68" spans="1:14" ht="15">
      <c r="I68" s="20">
        <v>1</v>
      </c>
      <c r="J68" s="20">
        <v>0.69</v>
      </c>
    </row>
    <row r="69" spans="1:14" ht="15">
      <c r="I69" s="20">
        <v>2</v>
      </c>
      <c r="J69" s="20">
        <v>0.89</v>
      </c>
    </row>
    <row r="70" spans="1:14" ht="15">
      <c r="I70" s="20">
        <v>3</v>
      </c>
      <c r="J70" s="20">
        <v>2</v>
      </c>
    </row>
    <row r="71" spans="1:14">
      <c r="H71" s="2"/>
      <c r="I71" s="2"/>
      <c r="J71" s="2"/>
      <c r="K71" s="2"/>
      <c r="L71" s="1"/>
    </row>
    <row r="72" spans="1:14">
      <c r="H72" s="2"/>
      <c r="I72" s="41" t="s">
        <v>866</v>
      </c>
      <c r="J72" s="42" t="s">
        <v>867</v>
      </c>
      <c r="K72" s="2" t="s">
        <v>550</v>
      </c>
      <c r="L72" s="2" t="s">
        <v>574</v>
      </c>
    </row>
    <row r="73" spans="1:14" ht="14.25">
      <c r="H73" s="2"/>
      <c r="I73" s="41" t="s">
        <v>868</v>
      </c>
      <c r="J73" s="2" t="s">
        <v>645</v>
      </c>
      <c r="K73" s="2">
        <v>1.3</v>
      </c>
      <c r="L73" s="2">
        <v>1.5</v>
      </c>
    </row>
    <row r="74" spans="1:14" ht="14.25">
      <c r="H74" s="2"/>
      <c r="I74" s="41" t="s">
        <v>869</v>
      </c>
      <c r="J74" s="2"/>
      <c r="K74" s="2">
        <v>1.25</v>
      </c>
      <c r="L74" s="2">
        <v>1.25</v>
      </c>
      <c r="M74" s="21" t="s">
        <v>870</v>
      </c>
    </row>
    <row r="75" spans="1:14" ht="14.25">
      <c r="H75" s="2"/>
      <c r="I75" s="41" t="s">
        <v>871</v>
      </c>
      <c r="J75" s="2"/>
      <c r="K75" s="2">
        <v>1.25</v>
      </c>
      <c r="L75" s="2">
        <v>1.45</v>
      </c>
    </row>
    <row r="76" spans="1:14" ht="14.25">
      <c r="A76" s="21" t="s">
        <v>872</v>
      </c>
      <c r="H76" s="2"/>
      <c r="I76" s="41" t="s">
        <v>873</v>
      </c>
      <c r="J76" s="2"/>
      <c r="K76" s="2">
        <v>1</v>
      </c>
      <c r="L76" s="2">
        <v>1.05</v>
      </c>
      <c r="M76" s="21" t="s">
        <v>874</v>
      </c>
    </row>
    <row r="77" spans="1:14" ht="14.25">
      <c r="A77" s="21" t="s">
        <v>875</v>
      </c>
      <c r="H77" s="2"/>
      <c r="I77" s="41" t="s">
        <v>876</v>
      </c>
      <c r="J77" s="2"/>
      <c r="K77" s="2">
        <v>1.25</v>
      </c>
      <c r="L77" s="2">
        <v>1.25</v>
      </c>
      <c r="M77" s="21" t="s">
        <v>877</v>
      </c>
    </row>
    <row r="78" spans="1:14" ht="14.25">
      <c r="A78" s="27" t="str" cm="1">
        <f t="array" ref="A78">INDEX(LEN_IN[],14,MATCH(CONDITIONS!$E$3,Len_DB!$C$8:$H$8,0)+1)</f>
        <v>Load duration</v>
      </c>
      <c r="B78" s="21">
        <v>1</v>
      </c>
      <c r="H78" s="2"/>
      <c r="I78" s="41" t="s">
        <v>878</v>
      </c>
      <c r="J78" s="2"/>
      <c r="K78" s="2">
        <v>1.35</v>
      </c>
      <c r="L78" s="2">
        <v>1.35</v>
      </c>
    </row>
    <row r="79" spans="1:14" ht="14.25">
      <c r="A79" s="27" t="str" cm="1">
        <f t="array" ref="A79">INDEX(LEN_IN[],15,MATCH(CONDITIONS!$E$3,Len_DB!$C$8:$H$8,0)+1)</f>
        <v>Permanent</v>
      </c>
      <c r="B79" s="21">
        <v>2</v>
      </c>
      <c r="H79" s="2"/>
      <c r="I79" s="41" t="s">
        <v>879</v>
      </c>
      <c r="J79" s="2"/>
      <c r="K79" s="2">
        <v>1.5</v>
      </c>
      <c r="L79" s="2">
        <v>1.5</v>
      </c>
    </row>
    <row r="80" spans="1:14">
      <c r="A80" s="27" t="str" cm="1">
        <f t="array" ref="A80">INDEX(LEN_IN[],16,MATCH(CONDITIONS!$E$3,Len_DB!$C$8:$H$8,0)+1)</f>
        <v>Long term</v>
      </c>
      <c r="B80" s="21">
        <v>3</v>
      </c>
    </row>
    <row r="81" spans="1:32">
      <c r="A81" s="27" t="str" cm="1">
        <f t="array" ref="A81">INDEX(LEN_IN[],17,MATCH(CONDITIONS!$E$3,Len_DB!$C$8:$H$8,0)+1)</f>
        <v>Medium term</v>
      </c>
      <c r="B81" s="21">
        <v>4</v>
      </c>
    </row>
    <row r="82" spans="1:32" ht="15.75">
      <c r="A82" s="27" t="str" cm="1">
        <f t="array" ref="A82">INDEX(LEN_IN[],18,MATCH(CONDITIONS!$E$3,Len_DB!$C$8:$H$8,0)+1)</f>
        <v>Short term</v>
      </c>
      <c r="B82" s="21">
        <v>5</v>
      </c>
      <c r="I82" t="s">
        <v>880</v>
      </c>
      <c r="J82" s="98" t="s">
        <v>881</v>
      </c>
      <c r="K82"/>
    </row>
    <row r="83" spans="1:32" ht="15">
      <c r="I83" t="s">
        <v>882</v>
      </c>
      <c r="J83">
        <v>410</v>
      </c>
      <c r="K83">
        <v>1</v>
      </c>
    </row>
    <row r="84" spans="1:32" ht="15">
      <c r="I84" t="s">
        <v>883</v>
      </c>
      <c r="J84">
        <v>410</v>
      </c>
      <c r="K84">
        <v>2</v>
      </c>
    </row>
    <row r="85" spans="1:32" ht="15">
      <c r="I85" t="s">
        <v>884</v>
      </c>
      <c r="J85">
        <v>420</v>
      </c>
      <c r="K85">
        <v>3</v>
      </c>
    </row>
    <row r="86" spans="1:32" ht="15">
      <c r="I86" t="s">
        <v>885</v>
      </c>
      <c r="J86">
        <v>550</v>
      </c>
      <c r="K86">
        <v>4</v>
      </c>
    </row>
    <row r="89" spans="1:32">
      <c r="A89" s="28" t="s">
        <v>886</v>
      </c>
    </row>
    <row r="90" spans="1:32" ht="15">
      <c r="A90" s="27" t="s">
        <v>887</v>
      </c>
      <c r="B90" s="27">
        <v>1</v>
      </c>
      <c r="O90"/>
      <c r="P90"/>
      <c r="Q90"/>
      <c r="R90"/>
      <c r="S90"/>
      <c r="T90"/>
      <c r="U90"/>
      <c r="V90"/>
      <c r="W90"/>
      <c r="X90"/>
      <c r="Y90"/>
    </row>
    <row r="91" spans="1:32" ht="15">
      <c r="A91" s="35" t="s">
        <v>888</v>
      </c>
      <c r="B91" s="27">
        <v>2</v>
      </c>
      <c r="O91"/>
      <c r="P91"/>
      <c r="Q91"/>
      <c r="R91"/>
      <c r="S91"/>
      <c r="T91"/>
      <c r="U91"/>
      <c r="V91"/>
      <c r="W91"/>
      <c r="X91"/>
      <c r="Y91"/>
    </row>
    <row r="92" spans="1:32" ht="15">
      <c r="O92"/>
      <c r="P92"/>
      <c r="Q92"/>
      <c r="R92"/>
      <c r="S92"/>
      <c r="T92"/>
      <c r="U92"/>
      <c r="V92"/>
      <c r="W92"/>
      <c r="X92"/>
      <c r="Y92"/>
    </row>
    <row r="93" spans="1:32" ht="15">
      <c r="A93" s="28" t="s">
        <v>889</v>
      </c>
      <c r="O93"/>
      <c r="P93"/>
      <c r="Q93"/>
      <c r="R93"/>
      <c r="S93"/>
      <c r="T93"/>
      <c r="U93"/>
      <c r="V93"/>
      <c r="W93"/>
      <c r="X93"/>
      <c r="Y93"/>
    </row>
    <row r="94" spans="1:32" ht="15">
      <c r="A94" s="27" t="s">
        <v>890</v>
      </c>
      <c r="B94" s="27">
        <v>1</v>
      </c>
      <c r="O94"/>
      <c r="P94"/>
      <c r="Q94"/>
      <c r="R94"/>
      <c r="S94"/>
      <c r="T94"/>
      <c r="U94"/>
      <c r="V94"/>
      <c r="W94"/>
      <c r="X94"/>
      <c r="Y94"/>
      <c r="Z94"/>
      <c r="AA94"/>
      <c r="AB94"/>
      <c r="AC94"/>
      <c r="AD94"/>
      <c r="AE94"/>
      <c r="AF94"/>
    </row>
    <row r="95" spans="1:32" ht="15">
      <c r="A95" s="27" t="s">
        <v>891</v>
      </c>
      <c r="B95" s="27">
        <v>2</v>
      </c>
      <c r="O95"/>
      <c r="P95"/>
      <c r="Q95"/>
      <c r="R95"/>
      <c r="S95"/>
      <c r="T95"/>
      <c r="U95"/>
      <c r="V95"/>
      <c r="W95"/>
      <c r="X95"/>
      <c r="Y95"/>
      <c r="Z95"/>
      <c r="AA95"/>
      <c r="AB95"/>
      <c r="AC95"/>
      <c r="AD95"/>
      <c r="AE95"/>
      <c r="AF95"/>
    </row>
    <row r="96" spans="1:32" ht="15">
      <c r="O96"/>
      <c r="P96"/>
      <c r="Q96"/>
      <c r="R96"/>
      <c r="S96"/>
      <c r="T96"/>
      <c r="U96"/>
      <c r="V96"/>
      <c r="W96"/>
      <c r="X96"/>
      <c r="Y96"/>
      <c r="Z96"/>
      <c r="AA96"/>
      <c r="AB96"/>
      <c r="AC96"/>
      <c r="AD96"/>
      <c r="AE96"/>
      <c r="AF96"/>
    </row>
    <row r="97" spans="1:32" ht="15.75">
      <c r="A97" s="21" t="s">
        <v>892</v>
      </c>
      <c r="O97"/>
      <c r="P97"/>
      <c r="Q97"/>
      <c r="R97"/>
      <c r="S97"/>
      <c r="T97"/>
      <c r="U97"/>
      <c r="V97"/>
      <c r="W97"/>
      <c r="X97"/>
      <c r="Y97"/>
      <c r="Z97"/>
      <c r="AA97"/>
      <c r="AB97"/>
      <c r="AC97"/>
      <c r="AD97"/>
      <c r="AE97"/>
      <c r="AF97"/>
    </row>
    <row r="98" spans="1:32" ht="15">
      <c r="A98" s="27"/>
      <c r="B98" s="27" t="s">
        <v>893</v>
      </c>
      <c r="C98" s="27" t="s">
        <v>894</v>
      </c>
      <c r="D98" s="27"/>
      <c r="O98"/>
      <c r="P98"/>
      <c r="Q98"/>
      <c r="R98"/>
      <c r="S98"/>
      <c r="T98"/>
      <c r="U98"/>
      <c r="V98"/>
      <c r="W98"/>
      <c r="X98"/>
      <c r="Y98"/>
      <c r="Z98"/>
      <c r="AA98"/>
      <c r="AB98"/>
      <c r="AC98"/>
      <c r="AD98"/>
      <c r="AE98"/>
      <c r="AF98"/>
    </row>
    <row r="99" spans="1:32" ht="15.75">
      <c r="A99" s="27" t="s">
        <v>895</v>
      </c>
      <c r="B99" s="27">
        <v>1</v>
      </c>
      <c r="C99" s="27">
        <v>1</v>
      </c>
      <c r="D99" s="27">
        <v>1</v>
      </c>
      <c r="O99"/>
      <c r="P99"/>
      <c r="Q99"/>
      <c r="R99"/>
      <c r="S99"/>
      <c r="T99"/>
      <c r="U99"/>
      <c r="V99"/>
      <c r="W99"/>
      <c r="X99"/>
      <c r="Y99"/>
      <c r="Z99"/>
      <c r="AA99"/>
      <c r="AB99"/>
      <c r="AC99"/>
      <c r="AD99"/>
      <c r="AE99"/>
      <c r="AF99"/>
    </row>
    <row r="100" spans="1:32" ht="15.75">
      <c r="A100" s="27" t="s">
        <v>896</v>
      </c>
      <c r="B100" s="27">
        <v>0.85</v>
      </c>
      <c r="C100" s="27">
        <v>0.85</v>
      </c>
      <c r="D100" s="27">
        <v>2</v>
      </c>
      <c r="O100"/>
      <c r="P100"/>
      <c r="Q100"/>
      <c r="R100"/>
      <c r="S100"/>
      <c r="T100"/>
      <c r="U100"/>
      <c r="V100"/>
      <c r="W100"/>
      <c r="X100"/>
      <c r="Y100"/>
      <c r="Z100"/>
      <c r="AA100"/>
      <c r="AB100"/>
      <c r="AC100"/>
      <c r="AD100"/>
      <c r="AE100"/>
      <c r="AF100"/>
    </row>
    <row r="101" spans="1:32" ht="15.75">
      <c r="A101" s="27" t="s">
        <v>897</v>
      </c>
      <c r="B101" s="27">
        <v>0.7</v>
      </c>
      <c r="C101" s="27">
        <v>0.7</v>
      </c>
      <c r="D101" s="27">
        <v>3</v>
      </c>
      <c r="O101"/>
      <c r="P101"/>
      <c r="Q101"/>
      <c r="R101"/>
      <c r="S101"/>
      <c r="T101"/>
      <c r="U101"/>
      <c r="V101"/>
      <c r="W101"/>
      <c r="X101"/>
      <c r="Y101"/>
      <c r="Z101"/>
      <c r="AA101"/>
      <c r="AB101"/>
      <c r="AC101"/>
      <c r="AD101"/>
      <c r="AE101"/>
      <c r="AF101"/>
    </row>
    <row r="102" spans="1:32" ht="15.75">
      <c r="A102" s="27" t="s">
        <v>898</v>
      </c>
      <c r="B102" s="36" t="s">
        <v>899</v>
      </c>
      <c r="C102" s="27">
        <v>0.5</v>
      </c>
      <c r="D102" s="27">
        <v>4</v>
      </c>
      <c r="O102"/>
      <c r="P102"/>
      <c r="Q102"/>
      <c r="R102"/>
      <c r="S102"/>
      <c r="T102"/>
      <c r="U102"/>
      <c r="V102"/>
      <c r="W102"/>
      <c r="X102"/>
      <c r="Y102"/>
      <c r="Z102"/>
      <c r="AA102"/>
      <c r="AB102"/>
      <c r="AC102"/>
      <c r="AD102"/>
      <c r="AE102"/>
      <c r="AF102"/>
    </row>
    <row r="103" spans="1:32" ht="15">
      <c r="O103"/>
      <c r="P103"/>
      <c r="Q103"/>
      <c r="R103"/>
      <c r="S103"/>
      <c r="T103"/>
      <c r="U103"/>
      <c r="V103"/>
      <c r="W103"/>
      <c r="X103"/>
      <c r="Y103"/>
      <c r="Z103"/>
      <c r="AA103"/>
      <c r="AB103"/>
      <c r="AC103"/>
      <c r="AD103"/>
      <c r="AE103"/>
      <c r="AF103"/>
    </row>
    <row r="104" spans="1:32" ht="15">
      <c r="O104"/>
      <c r="P104"/>
      <c r="Q104"/>
      <c r="R104"/>
      <c r="S104"/>
      <c r="T104"/>
      <c r="U104"/>
      <c r="V104"/>
      <c r="W104"/>
      <c r="X104"/>
      <c r="Y104"/>
      <c r="Z104"/>
      <c r="AA104"/>
      <c r="AB104"/>
      <c r="AC104"/>
      <c r="AD104"/>
      <c r="AE104"/>
      <c r="AF104"/>
    </row>
    <row r="105" spans="1:32" ht="15">
      <c r="B105" s="37"/>
      <c r="C105" s="246" t="s">
        <v>893</v>
      </c>
      <c r="D105" s="246"/>
      <c r="E105" s="37"/>
      <c r="O105"/>
      <c r="P105"/>
      <c r="Q105"/>
      <c r="R105"/>
      <c r="S105"/>
      <c r="T105"/>
      <c r="U105"/>
      <c r="V105"/>
      <c r="W105"/>
      <c r="X105"/>
      <c r="Y105"/>
      <c r="Z105"/>
      <c r="AA105"/>
      <c r="AB105"/>
      <c r="AC105"/>
      <c r="AD105"/>
      <c r="AE105"/>
      <c r="AF105"/>
    </row>
    <row r="106" spans="1:32" ht="15">
      <c r="A106" s="38" t="s">
        <v>900</v>
      </c>
      <c r="B106" s="21" t="s">
        <v>901</v>
      </c>
      <c r="C106" s="21" t="s">
        <v>902</v>
      </c>
      <c r="D106" s="247" t="s">
        <v>903</v>
      </c>
      <c r="E106" s="247"/>
      <c r="O106"/>
      <c r="P106"/>
      <c r="Q106"/>
      <c r="R106"/>
      <c r="S106"/>
      <c r="T106"/>
      <c r="U106"/>
      <c r="V106"/>
      <c r="W106"/>
      <c r="X106"/>
      <c r="Y106"/>
      <c r="Z106"/>
      <c r="AA106"/>
      <c r="AB106"/>
      <c r="AC106"/>
      <c r="AD106"/>
      <c r="AE106"/>
      <c r="AF106"/>
    </row>
    <row r="107" spans="1:32" ht="15">
      <c r="D107" s="39" t="s">
        <v>904</v>
      </c>
      <c r="E107" s="39" t="s">
        <v>905</v>
      </c>
      <c r="O107"/>
      <c r="P107"/>
      <c r="Q107"/>
      <c r="R107"/>
      <c r="S107"/>
      <c r="T107"/>
      <c r="U107"/>
      <c r="V107"/>
      <c r="W107"/>
      <c r="X107"/>
      <c r="Y107"/>
      <c r="Z107"/>
      <c r="AA107"/>
      <c r="AB107"/>
      <c r="AC107"/>
      <c r="AD107"/>
      <c r="AE107"/>
      <c r="AF107"/>
    </row>
    <row r="108" spans="1:32">
      <c r="A108" s="21" t="s">
        <v>906</v>
      </c>
      <c r="B108" s="40" t="e">
        <f>5*#REF!/COS(#REF!)</f>
        <v>#REF!</v>
      </c>
      <c r="C108" s="40" t="e">
        <f>5*#REF!</f>
        <v>#REF!</v>
      </c>
      <c r="D108" s="40" t="e">
        <f>(5+7)*#REF!</f>
        <v>#REF!</v>
      </c>
      <c r="E108" s="40" t="e">
        <f>(7+8)*#REF!</f>
        <v>#REF!</v>
      </c>
    </row>
    <row r="109" spans="1:32">
      <c r="A109" s="21" t="s">
        <v>907</v>
      </c>
      <c r="B109" s="40"/>
      <c r="C109" s="40" t="e">
        <f>5*#REF!</f>
        <v>#REF!</v>
      </c>
      <c r="D109" s="40" t="e">
        <f>5*#REF!</f>
        <v>#REF!</v>
      </c>
      <c r="E109" s="40" t="e">
        <f>5*#REF!</f>
        <v>#REF!</v>
      </c>
    </row>
    <row r="110" spans="1:32">
      <c r="A110" s="21" t="s">
        <v>908</v>
      </c>
      <c r="B110" s="40"/>
      <c r="C110" s="40" t="e">
        <f>10*#REF!</f>
        <v>#REF!</v>
      </c>
      <c r="D110" s="40"/>
      <c r="E110" s="40"/>
    </row>
    <row r="111" spans="1:32">
      <c r="A111" s="21" t="s">
        <v>909</v>
      </c>
      <c r="B111" s="40"/>
      <c r="C111" s="40" t="e">
        <f>4*#REF!</f>
        <v>#REF!</v>
      </c>
      <c r="D111" s="40"/>
      <c r="E111" s="40"/>
    </row>
    <row r="112" spans="1:32">
      <c r="A112" s="21" t="s">
        <v>910</v>
      </c>
      <c r="B112" s="40"/>
      <c r="C112" s="40"/>
      <c r="D112" s="40" t="e">
        <f>5*#REF!</f>
        <v>#REF!</v>
      </c>
      <c r="E112" s="40" t="e">
        <f>7*#REF!</f>
        <v>#REF!</v>
      </c>
    </row>
    <row r="113" spans="1:6">
      <c r="A113" s="21" t="s">
        <v>911</v>
      </c>
      <c r="B113" s="40" t="e">
        <f>1.5*#REF!</f>
        <v>#REF!</v>
      </c>
      <c r="C113" s="40"/>
      <c r="D113" s="40"/>
      <c r="E113" s="40"/>
    </row>
    <row r="116" spans="1:6">
      <c r="B116" s="2" t="s">
        <v>912</v>
      </c>
      <c r="C116" s="2" t="s">
        <v>913</v>
      </c>
      <c r="D116" s="2" t="s">
        <v>903</v>
      </c>
      <c r="E116" s="2" t="s">
        <v>914</v>
      </c>
      <c r="F116" s="2" t="s">
        <v>915</v>
      </c>
    </row>
    <row r="117" spans="1:6">
      <c r="A117" s="21" t="s">
        <v>916</v>
      </c>
      <c r="B117" s="14" t="e">
        <f>IF(AND(#REF!,#REF!&lt;420),D112*2+B113,E112*2+B113)</f>
        <v>#REF!</v>
      </c>
      <c r="C117" s="14" t="e">
        <f>IF(AND(#REF!,#REF!&lt;420),D112*2+IF(Input!#REF!=2,Dati!C109,0),E112*2+IF(Input!#REF!=2,Dati!C109,0))</f>
        <v>#REF!</v>
      </c>
      <c r="D117" s="14" t="e">
        <f>IF(AND(#REF!,#REF!&lt;420),D112*2+IF(Input!#REF!=2,Dati!D109,0),E112*2+IF(Input!#REF!=2,Dati!D109,0))</f>
        <v>#REF!</v>
      </c>
      <c r="E117" s="14" t="e">
        <f>B117</f>
        <v>#REF!</v>
      </c>
      <c r="F117" s="14" t="e">
        <f>C117</f>
        <v>#REF!</v>
      </c>
    </row>
    <row r="118" spans="1:6">
      <c r="B118" s="2"/>
      <c r="C118" s="2"/>
      <c r="D118" s="2"/>
      <c r="E118" s="2"/>
    </row>
  </sheetData>
  <sheetProtection selectLockedCells="1"/>
  <dataConsolidate/>
  <mergeCells count="2">
    <mergeCell ref="C105:D105"/>
    <mergeCell ref="D106:E106"/>
  </mergeCells>
  <phoneticPr fontId="48" type="noConversion"/>
  <pageMargins left="0.75" right="0.75" top="1" bottom="1" header="0.5" footer="0.5"/>
  <pageSetup paperSize="9" orientation="portrait" horizontalDpi="4294967293" r:id="rId1"/>
  <headerFooter alignWithMargins="0"/>
  <drawing r:id="rId2"/>
  <tableParts count="5">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4BF5-D82C-41B7-AC01-6D3773F9F148}">
  <sheetPr codeName="shLenguagesDB">
    <tabColor theme="6" tint="0.59999389629810485"/>
  </sheetPr>
  <dimension ref="A2:V257"/>
  <sheetViews>
    <sheetView topLeftCell="A226" zoomScale="70" zoomScaleNormal="70" workbookViewId="0">
      <selection activeCell="D252" sqref="D252"/>
    </sheetView>
  </sheetViews>
  <sheetFormatPr defaultColWidth="0" defaultRowHeight="15"/>
  <cols>
    <col min="1" max="1" width="2.85546875" style="16" customWidth="1"/>
    <col min="2" max="2" width="13.7109375" style="16" customWidth="1"/>
    <col min="3" max="3" width="81.140625" style="18" customWidth="1"/>
    <col min="4" max="4" width="81.7109375" style="18" customWidth="1"/>
    <col min="5" max="5" width="96.28515625" style="18" customWidth="1"/>
    <col min="6" max="6" width="91.28515625" style="18" customWidth="1"/>
    <col min="7" max="7" width="89.7109375" style="18" customWidth="1"/>
    <col min="8" max="8" width="8.85546875" style="18" customWidth="1"/>
    <col min="9" max="9" width="2.85546875" style="16" hidden="1" customWidth="1"/>
    <col min="10" max="10" width="11" style="16" hidden="1" customWidth="1"/>
    <col min="11" max="16" width="28.5703125" style="18" hidden="1" customWidth="1"/>
    <col min="17" max="17" width="3.42578125" style="16" hidden="1" customWidth="1"/>
    <col min="18" max="22" width="0" style="16" hidden="1" customWidth="1"/>
    <col min="23" max="16384" width="9.140625" style="16" hidden="1"/>
  </cols>
  <sheetData>
    <row r="2" spans="2:22" ht="15.75" thickBot="1">
      <c r="C2" s="175" t="s">
        <v>3</v>
      </c>
      <c r="D2" s="175"/>
      <c r="E2" s="175"/>
      <c r="F2" s="175"/>
      <c r="G2" s="175"/>
      <c r="H2" s="17"/>
      <c r="K2"/>
      <c r="L2"/>
      <c r="M2"/>
      <c r="N2"/>
      <c r="O2"/>
      <c r="P2" s="17"/>
      <c r="Q2"/>
      <c r="R2"/>
      <c r="S2"/>
      <c r="T2"/>
      <c r="U2"/>
      <c r="V2"/>
    </row>
    <row r="3" spans="2:22">
      <c r="K3"/>
      <c r="L3"/>
      <c r="M3"/>
      <c r="N3"/>
      <c r="O3"/>
      <c r="Q3"/>
      <c r="R3"/>
      <c r="S3"/>
      <c r="T3"/>
      <c r="U3"/>
      <c r="V3"/>
    </row>
    <row r="4" spans="2:22">
      <c r="C4" s="18" t="s">
        <v>4</v>
      </c>
      <c r="D4" s="18" t="s">
        <v>1</v>
      </c>
      <c r="E4" s="18" t="s">
        <v>5</v>
      </c>
      <c r="F4" s="18" t="s">
        <v>6</v>
      </c>
      <c r="G4" s="18" t="s">
        <v>7</v>
      </c>
      <c r="K4"/>
      <c r="L4"/>
      <c r="M4"/>
      <c r="N4"/>
      <c r="O4"/>
      <c r="Q4"/>
      <c r="R4"/>
      <c r="S4"/>
      <c r="T4"/>
      <c r="U4"/>
      <c r="V4"/>
    </row>
    <row r="5" spans="2:22">
      <c r="Q5"/>
      <c r="R5"/>
      <c r="S5"/>
      <c r="T5"/>
      <c r="U5"/>
      <c r="V5"/>
    </row>
    <row r="6" spans="2:22" ht="15.75" thickBot="1">
      <c r="C6" s="175" t="s">
        <v>8</v>
      </c>
      <c r="D6" s="175"/>
      <c r="E6" s="175"/>
      <c r="F6" s="175"/>
      <c r="G6" s="175"/>
      <c r="H6" s="17"/>
      <c r="P6" s="17"/>
      <c r="Q6"/>
      <c r="R6"/>
      <c r="S6"/>
      <c r="T6"/>
      <c r="U6"/>
      <c r="V6"/>
    </row>
    <row r="7" spans="2:22">
      <c r="Q7"/>
      <c r="R7"/>
      <c r="S7"/>
      <c r="T7"/>
      <c r="U7"/>
      <c r="V7"/>
    </row>
    <row r="8" spans="2:22">
      <c r="B8" s="16" t="s">
        <v>9</v>
      </c>
      <c r="C8" s="18" t="s">
        <v>4</v>
      </c>
      <c r="D8" s="18" t="s">
        <v>1</v>
      </c>
      <c r="E8" s="18" t="s">
        <v>5</v>
      </c>
      <c r="F8" s="18" t="s">
        <v>6</v>
      </c>
      <c r="G8" s="18" t="s">
        <v>7</v>
      </c>
      <c r="H8" s="18" t="s">
        <v>10</v>
      </c>
      <c r="Q8"/>
      <c r="R8"/>
      <c r="S8"/>
      <c r="T8"/>
      <c r="U8"/>
      <c r="V8"/>
    </row>
    <row r="9" spans="2:22">
      <c r="B9" s="16">
        <v>1</v>
      </c>
      <c r="C9" s="18" t="s">
        <v>11</v>
      </c>
      <c r="D9" s="18" t="s">
        <v>12</v>
      </c>
      <c r="E9" s="18" t="s">
        <v>13</v>
      </c>
      <c r="F9" s="18" t="s">
        <v>14</v>
      </c>
      <c r="G9" s="18" t="s">
        <v>15</v>
      </c>
    </row>
    <row r="10" spans="2:22">
      <c r="B10" s="16">
        <v>2</v>
      </c>
      <c r="C10" s="19" t="s">
        <v>16</v>
      </c>
      <c r="D10" s="19" t="s">
        <v>16</v>
      </c>
      <c r="E10" s="19" t="s">
        <v>16</v>
      </c>
      <c r="F10" s="19" t="s">
        <v>16</v>
      </c>
      <c r="G10" s="19" t="s">
        <v>16</v>
      </c>
    </row>
    <row r="11" spans="2:22" ht="30">
      <c r="B11" s="16">
        <v>3</v>
      </c>
      <c r="C11" s="19" t="s">
        <v>17</v>
      </c>
      <c r="D11" s="19" t="s">
        <v>18</v>
      </c>
      <c r="E11" s="19" t="s">
        <v>19</v>
      </c>
      <c r="F11" s="19" t="s">
        <v>20</v>
      </c>
      <c r="G11" s="19" t="s">
        <v>21</v>
      </c>
    </row>
    <row r="12" spans="2:22">
      <c r="B12" s="16">
        <v>4</v>
      </c>
      <c r="C12" s="19" t="s">
        <v>22</v>
      </c>
      <c r="D12" s="19" t="s">
        <v>23</v>
      </c>
      <c r="E12" s="19" t="s">
        <v>24</v>
      </c>
      <c r="F12" s="19" t="s">
        <v>25</v>
      </c>
      <c r="G12" s="19" t="s">
        <v>26</v>
      </c>
    </row>
    <row r="13" spans="2:22" ht="240">
      <c r="B13" s="16">
        <v>5</v>
      </c>
      <c r="C13" s="19" t="s">
        <v>27</v>
      </c>
      <c r="D13" s="19" t="s">
        <v>28</v>
      </c>
      <c r="E13" s="19" t="s">
        <v>29</v>
      </c>
      <c r="F13" s="19" t="s">
        <v>30</v>
      </c>
      <c r="G13" s="19" t="s">
        <v>31</v>
      </c>
    </row>
    <row r="14" spans="2:22">
      <c r="B14" s="16">
        <v>6</v>
      </c>
      <c r="C14" s="19" t="s">
        <v>32</v>
      </c>
      <c r="D14" s="19" t="s">
        <v>33</v>
      </c>
      <c r="E14" s="19" t="s">
        <v>34</v>
      </c>
      <c r="F14" s="19" t="s">
        <v>35</v>
      </c>
      <c r="G14" s="19" t="s">
        <v>36</v>
      </c>
    </row>
    <row r="15" spans="2:22" ht="60">
      <c r="B15" s="16">
        <v>7</v>
      </c>
      <c r="C15" s="19" t="s">
        <v>37</v>
      </c>
      <c r="D15" s="19" t="s">
        <v>38</v>
      </c>
      <c r="E15" s="19" t="s">
        <v>39</v>
      </c>
      <c r="F15" s="19" t="s">
        <v>40</v>
      </c>
      <c r="G15" s="19" t="s">
        <v>41</v>
      </c>
    </row>
    <row r="16" spans="2:22">
      <c r="B16" s="16">
        <v>8</v>
      </c>
      <c r="C16" s="19" t="s">
        <v>42</v>
      </c>
      <c r="D16" s="19" t="s">
        <v>43</v>
      </c>
      <c r="E16" s="19" t="s">
        <v>44</v>
      </c>
      <c r="F16" s="19" t="s">
        <v>45</v>
      </c>
      <c r="G16" s="19" t="s">
        <v>46</v>
      </c>
    </row>
    <row r="17" spans="2:7" ht="210">
      <c r="B17" s="16">
        <v>9</v>
      </c>
      <c r="C17" s="19" t="s">
        <v>47</v>
      </c>
      <c r="D17" s="19" t="s">
        <v>48</v>
      </c>
      <c r="E17" s="19" t="s">
        <v>49</v>
      </c>
      <c r="F17" s="19" t="s">
        <v>50</v>
      </c>
      <c r="G17" s="19" t="s">
        <v>51</v>
      </c>
    </row>
    <row r="18" spans="2:7">
      <c r="B18" s="16">
        <v>10</v>
      </c>
      <c r="C18" s="19" t="s">
        <v>52</v>
      </c>
      <c r="D18" s="19" t="s">
        <v>53</v>
      </c>
      <c r="E18" s="19" t="s">
        <v>54</v>
      </c>
      <c r="F18" s="19" t="s">
        <v>55</v>
      </c>
      <c r="G18" s="19" t="s">
        <v>56</v>
      </c>
    </row>
    <row r="19" spans="2:7" ht="405">
      <c r="B19" s="16">
        <v>11</v>
      </c>
      <c r="C19" s="19" t="s">
        <v>57</v>
      </c>
      <c r="D19" s="19" t="s">
        <v>58</v>
      </c>
      <c r="E19" s="19" t="s">
        <v>59</v>
      </c>
      <c r="F19" s="19" t="s">
        <v>60</v>
      </c>
      <c r="G19" s="19" t="s">
        <v>61</v>
      </c>
    </row>
    <row r="20" spans="2:7">
      <c r="B20" s="16">
        <v>12</v>
      </c>
      <c r="C20" s="19" t="s">
        <v>62</v>
      </c>
      <c r="D20" s="19" t="s">
        <v>63</v>
      </c>
      <c r="E20" s="19" t="s">
        <v>64</v>
      </c>
      <c r="F20" s="19" t="s">
        <v>65</v>
      </c>
      <c r="G20" s="19" t="s">
        <v>66</v>
      </c>
    </row>
    <row r="21" spans="2:7" ht="90">
      <c r="B21" s="16">
        <v>13</v>
      </c>
      <c r="C21" s="19" t="s">
        <v>67</v>
      </c>
      <c r="D21" s="19" t="s">
        <v>68</v>
      </c>
      <c r="E21" s="19" t="s">
        <v>69</v>
      </c>
      <c r="F21" s="19" t="s">
        <v>70</v>
      </c>
      <c r="G21" s="19" t="s">
        <v>71</v>
      </c>
    </row>
    <row r="22" spans="2:7">
      <c r="B22" s="16">
        <v>14</v>
      </c>
      <c r="C22" s="19" t="s">
        <v>72</v>
      </c>
      <c r="D22" s="19" t="s">
        <v>73</v>
      </c>
      <c r="E22" s="19" t="s">
        <v>74</v>
      </c>
      <c r="F22" s="19" t="s">
        <v>75</v>
      </c>
      <c r="G22" s="19" t="s">
        <v>76</v>
      </c>
    </row>
    <row r="23" spans="2:7" ht="150">
      <c r="B23" s="16">
        <v>15</v>
      </c>
      <c r="C23" s="19" t="s">
        <v>77</v>
      </c>
      <c r="D23" s="19" t="s">
        <v>78</v>
      </c>
      <c r="E23" s="19" t="s">
        <v>79</v>
      </c>
      <c r="F23" s="19" t="s">
        <v>80</v>
      </c>
      <c r="G23" s="19" t="s">
        <v>81</v>
      </c>
    </row>
    <row r="24" spans="2:7">
      <c r="B24" s="16">
        <v>16</v>
      </c>
      <c r="C24" s="19" t="s">
        <v>82</v>
      </c>
      <c r="D24" s="19" t="s">
        <v>83</v>
      </c>
      <c r="E24" s="19" t="s">
        <v>84</v>
      </c>
      <c r="F24" s="19" t="s">
        <v>85</v>
      </c>
      <c r="G24" s="19" t="s">
        <v>86</v>
      </c>
    </row>
    <row r="25" spans="2:7" ht="390">
      <c r="B25" s="16">
        <v>17</v>
      </c>
      <c r="C25" s="19" t="s">
        <v>87</v>
      </c>
      <c r="D25" s="19" t="s">
        <v>88</v>
      </c>
      <c r="E25" s="19" t="s">
        <v>89</v>
      </c>
      <c r="F25" s="19" t="s">
        <v>90</v>
      </c>
      <c r="G25" s="19" t="s">
        <v>91</v>
      </c>
    </row>
    <row r="26" spans="2:7">
      <c r="B26" s="16">
        <v>18</v>
      </c>
      <c r="C26" s="19" t="s">
        <v>92</v>
      </c>
      <c r="D26" s="19" t="s">
        <v>93</v>
      </c>
      <c r="E26" s="19" t="s">
        <v>94</v>
      </c>
      <c r="F26" s="19" t="s">
        <v>95</v>
      </c>
      <c r="G26" s="19" t="s">
        <v>96</v>
      </c>
    </row>
    <row r="27" spans="2:7" ht="90">
      <c r="B27" s="16">
        <v>19</v>
      </c>
      <c r="C27" s="19" t="s">
        <v>97</v>
      </c>
      <c r="D27" s="19" t="s">
        <v>98</v>
      </c>
      <c r="E27" s="19" t="s">
        <v>99</v>
      </c>
      <c r="F27" s="19" t="s">
        <v>100</v>
      </c>
      <c r="G27" s="19" t="s">
        <v>101</v>
      </c>
    </row>
    <row r="28" spans="2:7">
      <c r="B28" s="16">
        <v>20</v>
      </c>
      <c r="C28" s="19" t="s">
        <v>102</v>
      </c>
      <c r="D28" s="19" t="s">
        <v>103</v>
      </c>
      <c r="E28" s="19" t="s">
        <v>104</v>
      </c>
      <c r="F28" s="19" t="s">
        <v>105</v>
      </c>
      <c r="G28" s="19" t="s">
        <v>106</v>
      </c>
    </row>
    <row r="29" spans="2:7" ht="45">
      <c r="B29" s="16">
        <v>21</v>
      </c>
      <c r="C29" s="19" t="s">
        <v>107</v>
      </c>
      <c r="D29" s="19" t="s">
        <v>108</v>
      </c>
      <c r="E29" s="19" t="s">
        <v>109</v>
      </c>
      <c r="F29" s="19" t="s">
        <v>110</v>
      </c>
      <c r="G29" s="19" t="s">
        <v>111</v>
      </c>
    </row>
    <row r="30" spans="2:7">
      <c r="B30" s="16">
        <v>22</v>
      </c>
      <c r="C30" s="19" t="s">
        <v>112</v>
      </c>
      <c r="D30" s="19" t="s">
        <v>113</v>
      </c>
      <c r="E30" s="19" t="s">
        <v>114</v>
      </c>
      <c r="F30" s="19" t="s">
        <v>115</v>
      </c>
      <c r="G30" s="19" t="s">
        <v>116</v>
      </c>
    </row>
    <row r="31" spans="2:7" ht="45">
      <c r="B31" s="16">
        <v>23</v>
      </c>
      <c r="C31" s="19" t="s">
        <v>117</v>
      </c>
      <c r="D31" s="19" t="s">
        <v>118</v>
      </c>
      <c r="E31" s="19" t="s">
        <v>119</v>
      </c>
      <c r="F31" s="19" t="s">
        <v>120</v>
      </c>
      <c r="G31" s="19" t="s">
        <v>121</v>
      </c>
    </row>
    <row r="32" spans="2:7">
      <c r="B32" s="16">
        <v>24</v>
      </c>
      <c r="C32" s="19" t="s">
        <v>122</v>
      </c>
      <c r="D32" s="19" t="s">
        <v>123</v>
      </c>
      <c r="E32" s="19" t="s">
        <v>124</v>
      </c>
      <c r="F32" s="19" t="s">
        <v>125</v>
      </c>
      <c r="G32" s="19" t="s">
        <v>126</v>
      </c>
    </row>
    <row r="33" spans="2:8" ht="60">
      <c r="B33" s="16">
        <v>25</v>
      </c>
      <c r="C33" s="19" t="s">
        <v>127</v>
      </c>
      <c r="D33" s="19" t="s">
        <v>128</v>
      </c>
      <c r="E33" s="19" t="s">
        <v>129</v>
      </c>
      <c r="F33" s="19" t="s">
        <v>130</v>
      </c>
      <c r="G33" s="19" t="s">
        <v>131</v>
      </c>
    </row>
    <row r="34" spans="2:8">
      <c r="B34" s="16">
        <v>26</v>
      </c>
      <c r="C34" s="19" t="s">
        <v>132</v>
      </c>
      <c r="D34" s="19" t="s">
        <v>132</v>
      </c>
      <c r="E34" s="19" t="s">
        <v>133</v>
      </c>
      <c r="F34" s="19" t="s">
        <v>134</v>
      </c>
      <c r="G34" s="19" t="s">
        <v>135</v>
      </c>
    </row>
    <row r="35" spans="2:8">
      <c r="B35" s="16">
        <v>27</v>
      </c>
      <c r="C35" s="19" t="s">
        <v>136</v>
      </c>
      <c r="D35" s="19" t="s">
        <v>137</v>
      </c>
      <c r="E35" s="19" t="s">
        <v>138</v>
      </c>
      <c r="F35" s="19" t="s">
        <v>139</v>
      </c>
      <c r="G35" s="19" t="s">
        <v>140</v>
      </c>
    </row>
    <row r="36" spans="2:8">
      <c r="B36" s="16">
        <v>28</v>
      </c>
      <c r="C36" s="19" t="s">
        <v>141</v>
      </c>
      <c r="D36" s="19" t="s">
        <v>142</v>
      </c>
      <c r="E36" s="19" t="s">
        <v>143</v>
      </c>
      <c r="F36" s="19" t="s">
        <v>144</v>
      </c>
      <c r="G36" s="19" t="s">
        <v>145</v>
      </c>
    </row>
    <row r="37" spans="2:8">
      <c r="C37" s="19"/>
      <c r="D37" s="19"/>
      <c r="E37" s="19"/>
      <c r="F37" s="19"/>
      <c r="G37" s="19"/>
    </row>
    <row r="38" spans="2:8" ht="15.75" thickBot="1">
      <c r="B38"/>
      <c r="C38" s="175" t="s">
        <v>146</v>
      </c>
      <c r="D38" s="175"/>
      <c r="E38" s="175"/>
      <c r="F38" s="175"/>
      <c r="G38" s="175"/>
    </row>
    <row r="39" spans="2:8">
      <c r="B39"/>
      <c r="C39"/>
      <c r="D39"/>
      <c r="E39"/>
      <c r="F39"/>
      <c r="G39"/>
      <c r="H39"/>
    </row>
    <row r="40" spans="2:8">
      <c r="B40" s="16" t="s">
        <v>9</v>
      </c>
      <c r="C40" s="18" t="s">
        <v>4</v>
      </c>
      <c r="D40" s="18" t="s">
        <v>1</v>
      </c>
      <c r="E40" s="18" t="s">
        <v>5</v>
      </c>
      <c r="F40" s="18" t="s">
        <v>6</v>
      </c>
      <c r="G40" s="18" t="s">
        <v>7</v>
      </c>
      <c r="H40" s="18" t="s">
        <v>10</v>
      </c>
    </row>
    <row r="41" spans="2:8">
      <c r="B41" s="16">
        <v>1</v>
      </c>
      <c r="C41" s="18" t="s">
        <v>147</v>
      </c>
      <c r="D41" s="18" t="s">
        <v>148</v>
      </c>
      <c r="E41" s="18" t="s">
        <v>149</v>
      </c>
      <c r="F41" s="18" t="s">
        <v>150</v>
      </c>
      <c r="G41" s="18" t="s">
        <v>151</v>
      </c>
    </row>
    <row r="42" spans="2:8">
      <c r="B42" s="16">
        <v>2</v>
      </c>
      <c r="C42" s="18" t="s">
        <v>152</v>
      </c>
      <c r="D42" s="18" t="s">
        <v>152</v>
      </c>
      <c r="E42" s="19" t="s">
        <v>153</v>
      </c>
      <c r="F42" s="19" t="s">
        <v>154</v>
      </c>
      <c r="G42" s="19" t="s">
        <v>155</v>
      </c>
    </row>
    <row r="43" spans="2:8">
      <c r="B43" s="16">
        <v>3</v>
      </c>
      <c r="C43" s="18" t="s">
        <v>156</v>
      </c>
      <c r="D43" s="18" t="s">
        <v>157</v>
      </c>
      <c r="E43" s="19" t="s">
        <v>158</v>
      </c>
      <c r="F43" s="19" t="s">
        <v>159</v>
      </c>
      <c r="G43" s="19" t="s">
        <v>160</v>
      </c>
    </row>
    <row r="44" spans="2:8">
      <c r="B44" s="16">
        <v>4</v>
      </c>
      <c r="C44" s="18" t="s">
        <v>161</v>
      </c>
      <c r="D44" s="18" t="s">
        <v>162</v>
      </c>
      <c r="E44" s="19" t="s">
        <v>163</v>
      </c>
      <c r="F44" s="19" t="s">
        <v>162</v>
      </c>
      <c r="G44" s="19" t="s">
        <v>161</v>
      </c>
    </row>
    <row r="45" spans="2:8">
      <c r="B45" s="16">
        <v>5</v>
      </c>
      <c r="C45" s="18" t="s">
        <v>164</v>
      </c>
      <c r="D45" s="18" t="s">
        <v>165</v>
      </c>
      <c r="E45" s="19" t="s">
        <v>166</v>
      </c>
      <c r="F45" s="19" t="s">
        <v>167</v>
      </c>
      <c r="G45" s="19" t="s">
        <v>168</v>
      </c>
    </row>
    <row r="46" spans="2:8">
      <c r="B46" s="16">
        <v>6</v>
      </c>
      <c r="C46" s="18" t="s">
        <v>169</v>
      </c>
      <c r="D46" s="18" t="s">
        <v>170</v>
      </c>
      <c r="E46" s="19" t="s">
        <v>171</v>
      </c>
      <c r="F46" s="19" t="s">
        <v>172</v>
      </c>
      <c r="G46" s="19" t="s">
        <v>173</v>
      </c>
    </row>
    <row r="47" spans="2:8">
      <c r="B47" s="16">
        <v>7</v>
      </c>
      <c r="C47" s="18" t="s">
        <v>174</v>
      </c>
      <c r="D47" s="18" t="s">
        <v>175</v>
      </c>
      <c r="E47" s="19" t="s">
        <v>176</v>
      </c>
      <c r="F47" s="19" t="s">
        <v>175</v>
      </c>
      <c r="G47" s="19" t="s">
        <v>177</v>
      </c>
    </row>
    <row r="48" spans="2:8">
      <c r="B48" s="16">
        <v>8</v>
      </c>
      <c r="C48" s="18" t="s">
        <v>178</v>
      </c>
      <c r="D48" s="18" t="s">
        <v>179</v>
      </c>
      <c r="E48" s="19" t="s">
        <v>180</v>
      </c>
      <c r="F48" s="19" t="s">
        <v>181</v>
      </c>
      <c r="G48" s="19" t="s">
        <v>182</v>
      </c>
    </row>
    <row r="49" spans="2:7">
      <c r="B49" s="16">
        <v>9</v>
      </c>
      <c r="C49" s="18" t="s">
        <v>183</v>
      </c>
      <c r="D49" s="18" t="s">
        <v>184</v>
      </c>
      <c r="E49" s="19" t="s">
        <v>185</v>
      </c>
      <c r="F49" s="19" t="s">
        <v>184</v>
      </c>
      <c r="G49" s="19" t="s">
        <v>186</v>
      </c>
    </row>
    <row r="50" spans="2:7">
      <c r="B50" s="16">
        <v>10</v>
      </c>
      <c r="C50" s="18" t="s">
        <v>187</v>
      </c>
      <c r="D50" s="18" t="s">
        <v>188</v>
      </c>
      <c r="E50" s="19" t="s">
        <v>189</v>
      </c>
      <c r="F50" s="19" t="s">
        <v>190</v>
      </c>
      <c r="G50" s="19" t="s">
        <v>191</v>
      </c>
    </row>
    <row r="51" spans="2:7">
      <c r="B51" s="16">
        <v>11</v>
      </c>
      <c r="C51" s="18" t="s">
        <v>192</v>
      </c>
      <c r="D51" s="18" t="s">
        <v>193</v>
      </c>
      <c r="E51" s="19" t="s">
        <v>194</v>
      </c>
      <c r="F51" s="19" t="s">
        <v>195</v>
      </c>
      <c r="G51" s="19" t="s">
        <v>196</v>
      </c>
    </row>
    <row r="52" spans="2:7">
      <c r="B52" s="16">
        <v>12</v>
      </c>
      <c r="C52" s="18" t="s">
        <v>197</v>
      </c>
      <c r="D52" s="18" t="s">
        <v>198</v>
      </c>
      <c r="E52" s="19" t="s">
        <v>199</v>
      </c>
      <c r="F52" s="19" t="s">
        <v>200</v>
      </c>
      <c r="G52" s="19" t="s">
        <v>201</v>
      </c>
    </row>
    <row r="53" spans="2:7">
      <c r="B53" s="16">
        <v>13</v>
      </c>
      <c r="C53" s="18" t="s">
        <v>202</v>
      </c>
      <c r="D53" s="18" t="s">
        <v>203</v>
      </c>
      <c r="E53" s="18" t="s">
        <v>204</v>
      </c>
      <c r="F53" s="18" t="s">
        <v>205</v>
      </c>
      <c r="G53" s="18" t="s">
        <v>206</v>
      </c>
    </row>
    <row r="54" spans="2:7">
      <c r="B54" s="16">
        <v>14</v>
      </c>
      <c r="C54" s="18" t="s">
        <v>207</v>
      </c>
      <c r="D54" s="18" t="s">
        <v>208</v>
      </c>
      <c r="E54" s="19" t="s">
        <v>209</v>
      </c>
      <c r="F54" s="19" t="s">
        <v>210</v>
      </c>
      <c r="G54" s="19" t="s">
        <v>211</v>
      </c>
    </row>
    <row r="55" spans="2:7">
      <c r="B55" s="16">
        <v>15</v>
      </c>
      <c r="C55" s="18" t="s">
        <v>212</v>
      </c>
      <c r="D55" s="18" t="s">
        <v>213</v>
      </c>
      <c r="E55" s="19" t="s">
        <v>214</v>
      </c>
      <c r="F55" s="19" t="s">
        <v>213</v>
      </c>
      <c r="G55" s="19" t="s">
        <v>212</v>
      </c>
    </row>
    <row r="56" spans="2:7">
      <c r="B56" s="16">
        <v>16</v>
      </c>
      <c r="C56" s="19" t="s">
        <v>215</v>
      </c>
      <c r="D56" s="19" t="s">
        <v>216</v>
      </c>
      <c r="E56" s="19" t="s">
        <v>217</v>
      </c>
      <c r="F56" s="19" t="s">
        <v>218</v>
      </c>
      <c r="G56" s="19" t="s">
        <v>219</v>
      </c>
    </row>
    <row r="57" spans="2:7">
      <c r="B57" s="16">
        <v>17</v>
      </c>
      <c r="C57" s="19" t="s">
        <v>220</v>
      </c>
      <c r="D57" s="18" t="s">
        <v>221</v>
      </c>
      <c r="E57" s="19" t="s">
        <v>222</v>
      </c>
      <c r="F57" s="19" t="s">
        <v>223</v>
      </c>
      <c r="G57" s="19" t="s">
        <v>224</v>
      </c>
    </row>
    <row r="58" spans="2:7">
      <c r="B58" s="16">
        <v>18</v>
      </c>
      <c r="C58" s="19" t="s">
        <v>225</v>
      </c>
      <c r="D58" s="19" t="s">
        <v>226</v>
      </c>
      <c r="E58" s="19" t="s">
        <v>227</v>
      </c>
      <c r="F58" s="19" t="s">
        <v>228</v>
      </c>
      <c r="G58" s="19" t="s">
        <v>229</v>
      </c>
    </row>
    <row r="59" spans="2:7">
      <c r="B59" s="16">
        <v>19</v>
      </c>
      <c r="C59" s="19" t="s">
        <v>230</v>
      </c>
      <c r="D59" s="19" t="s">
        <v>231</v>
      </c>
      <c r="E59" s="19" t="s">
        <v>232</v>
      </c>
      <c r="F59" s="19" t="s">
        <v>233</v>
      </c>
      <c r="G59" s="19" t="s">
        <v>234</v>
      </c>
    </row>
    <row r="60" spans="2:7">
      <c r="B60" s="16">
        <v>20</v>
      </c>
      <c r="C60" s="19" t="s">
        <v>235</v>
      </c>
      <c r="D60" s="19" t="s">
        <v>236</v>
      </c>
      <c r="E60" s="19" t="s">
        <v>237</v>
      </c>
      <c r="F60" s="19" t="s">
        <v>238</v>
      </c>
      <c r="G60" s="19" t="s">
        <v>239</v>
      </c>
    </row>
    <row r="61" spans="2:7">
      <c r="B61" s="16">
        <v>21</v>
      </c>
      <c r="C61" s="19" t="s">
        <v>240</v>
      </c>
      <c r="D61" s="19" t="s">
        <v>241</v>
      </c>
      <c r="E61" s="19" t="s">
        <v>242</v>
      </c>
      <c r="F61" s="19" t="s">
        <v>243</v>
      </c>
      <c r="G61" s="19" t="s">
        <v>244</v>
      </c>
    </row>
    <row r="62" spans="2:7">
      <c r="B62" s="16">
        <v>22</v>
      </c>
      <c r="C62" s="18" t="s">
        <v>245</v>
      </c>
      <c r="D62" s="18" t="s">
        <v>246</v>
      </c>
      <c r="E62" s="19" t="s">
        <v>247</v>
      </c>
      <c r="F62" s="19" t="s">
        <v>248</v>
      </c>
      <c r="G62" s="19" t="s">
        <v>249</v>
      </c>
    </row>
    <row r="63" spans="2:7">
      <c r="B63" s="16">
        <v>23</v>
      </c>
      <c r="C63" s="19" t="s">
        <v>250</v>
      </c>
      <c r="D63" s="19" t="s">
        <v>251</v>
      </c>
      <c r="E63" s="19" t="s">
        <v>252</v>
      </c>
      <c r="F63" s="19" t="s">
        <v>253</v>
      </c>
      <c r="G63" s="19" t="s">
        <v>254</v>
      </c>
    </row>
    <row r="64" spans="2:7">
      <c r="B64" s="16">
        <v>24</v>
      </c>
      <c r="C64" s="18" t="s">
        <v>255</v>
      </c>
      <c r="D64" s="18" t="s">
        <v>256</v>
      </c>
      <c r="E64" s="19" t="s">
        <v>257</v>
      </c>
      <c r="F64" s="19" t="s">
        <v>258</v>
      </c>
      <c r="G64" s="19" t="s">
        <v>259</v>
      </c>
    </row>
    <row r="65" spans="2:7">
      <c r="B65" s="16">
        <v>25</v>
      </c>
      <c r="C65" s="19" t="s">
        <v>250</v>
      </c>
      <c r="D65" s="19" t="s">
        <v>251</v>
      </c>
      <c r="E65" s="19" t="s">
        <v>252</v>
      </c>
      <c r="F65" s="19" t="s">
        <v>253</v>
      </c>
      <c r="G65" s="19" t="s">
        <v>254</v>
      </c>
    </row>
    <row r="66" spans="2:7">
      <c r="B66" s="16">
        <v>26</v>
      </c>
      <c r="C66" s="19" t="s">
        <v>260</v>
      </c>
      <c r="D66" s="19" t="s">
        <v>261</v>
      </c>
      <c r="E66" s="19" t="s">
        <v>262</v>
      </c>
      <c r="F66" s="19" t="s">
        <v>263</v>
      </c>
      <c r="G66" s="19" t="s">
        <v>264</v>
      </c>
    </row>
    <row r="67" spans="2:7">
      <c r="B67" s="16">
        <v>27</v>
      </c>
      <c r="C67" s="18" t="s">
        <v>245</v>
      </c>
      <c r="D67" s="18" t="s">
        <v>246</v>
      </c>
      <c r="E67" s="18" t="s">
        <v>265</v>
      </c>
      <c r="F67" s="18" t="s">
        <v>266</v>
      </c>
      <c r="G67" s="18" t="s">
        <v>267</v>
      </c>
    </row>
    <row r="68" spans="2:7">
      <c r="B68" s="16">
        <v>28</v>
      </c>
      <c r="C68" s="18" t="s">
        <v>268</v>
      </c>
      <c r="D68" s="18" t="s">
        <v>269</v>
      </c>
      <c r="E68" s="18" t="s">
        <v>270</v>
      </c>
      <c r="F68" s="18" t="s">
        <v>271</v>
      </c>
      <c r="G68" s="18" t="s">
        <v>268</v>
      </c>
    </row>
    <row r="69" spans="2:7">
      <c r="B69" s="16">
        <v>29</v>
      </c>
      <c r="C69" s="18" t="s">
        <v>272</v>
      </c>
      <c r="D69" s="18" t="s">
        <v>273</v>
      </c>
      <c r="E69" s="18" t="s">
        <v>274</v>
      </c>
      <c r="F69" s="18" t="s">
        <v>275</v>
      </c>
      <c r="G69" s="18" t="s">
        <v>276</v>
      </c>
    </row>
    <row r="70" spans="2:7">
      <c r="B70" s="16">
        <v>30</v>
      </c>
      <c r="C70" s="18" t="s">
        <v>277</v>
      </c>
      <c r="D70" s="18" t="s">
        <v>277</v>
      </c>
      <c r="E70" s="18" t="s">
        <v>278</v>
      </c>
      <c r="F70" s="18" t="s">
        <v>277</v>
      </c>
      <c r="G70" s="18" t="s">
        <v>277</v>
      </c>
    </row>
    <row r="71" spans="2:7">
      <c r="B71" s="16">
        <v>31</v>
      </c>
      <c r="C71" s="18" t="s">
        <v>279</v>
      </c>
      <c r="D71" s="18" t="s">
        <v>280</v>
      </c>
      <c r="E71" s="18" t="s">
        <v>281</v>
      </c>
      <c r="F71" s="18" t="s">
        <v>282</v>
      </c>
      <c r="G71" s="18" t="s">
        <v>283</v>
      </c>
    </row>
    <row r="72" spans="2:7">
      <c r="B72" s="16">
        <v>32</v>
      </c>
      <c r="C72" s="18" t="s">
        <v>255</v>
      </c>
      <c r="D72" s="18" t="s">
        <v>256</v>
      </c>
      <c r="E72" s="18" t="s">
        <v>284</v>
      </c>
      <c r="F72" s="18" t="s">
        <v>285</v>
      </c>
      <c r="G72" s="18" t="s">
        <v>286</v>
      </c>
    </row>
    <row r="73" spans="2:7">
      <c r="B73" s="16">
        <v>33</v>
      </c>
      <c r="C73" s="18" t="s">
        <v>287</v>
      </c>
      <c r="D73" s="18" t="s">
        <v>288</v>
      </c>
      <c r="E73" s="18" t="s">
        <v>289</v>
      </c>
      <c r="F73" s="18" t="s">
        <v>290</v>
      </c>
      <c r="G73" s="18" t="s">
        <v>291</v>
      </c>
    </row>
    <row r="74" spans="2:7">
      <c r="B74" s="16">
        <v>34</v>
      </c>
      <c r="C74" s="18" t="s">
        <v>272</v>
      </c>
      <c r="D74" s="18" t="s">
        <v>273</v>
      </c>
      <c r="E74" s="18" t="s">
        <v>274</v>
      </c>
      <c r="F74" s="18" t="s">
        <v>275</v>
      </c>
      <c r="G74" s="18" t="s">
        <v>276</v>
      </c>
    </row>
    <row r="75" spans="2:7">
      <c r="B75" s="16">
        <v>35</v>
      </c>
      <c r="C75" s="18" t="s">
        <v>277</v>
      </c>
      <c r="D75" s="18" t="s">
        <v>277</v>
      </c>
      <c r="E75" s="18" t="s">
        <v>278</v>
      </c>
      <c r="F75" s="18" t="s">
        <v>277</v>
      </c>
      <c r="G75" s="18" t="s">
        <v>277</v>
      </c>
    </row>
    <row r="76" spans="2:7">
      <c r="B76" s="16">
        <v>36</v>
      </c>
      <c r="C76" s="18" t="s">
        <v>292</v>
      </c>
      <c r="D76" s="18" t="s">
        <v>293</v>
      </c>
      <c r="E76" s="18" t="s">
        <v>294</v>
      </c>
      <c r="F76" s="18" t="s">
        <v>295</v>
      </c>
      <c r="G76" s="18" t="s">
        <v>296</v>
      </c>
    </row>
    <row r="77" spans="2:7">
      <c r="B77" s="16">
        <v>37</v>
      </c>
      <c r="C77" s="18" t="s">
        <v>297</v>
      </c>
      <c r="D77" s="18" t="s">
        <v>298</v>
      </c>
      <c r="E77" s="18" t="s">
        <v>299</v>
      </c>
      <c r="F77" s="18" t="s">
        <v>300</v>
      </c>
      <c r="G77" s="18" t="s">
        <v>301</v>
      </c>
    </row>
    <row r="78" spans="2:7">
      <c r="B78" s="16">
        <v>38</v>
      </c>
      <c r="C78" s="18" t="s">
        <v>302</v>
      </c>
      <c r="D78" s="18" t="s">
        <v>303</v>
      </c>
      <c r="E78" s="18" t="s">
        <v>304</v>
      </c>
      <c r="F78" s="18" t="s">
        <v>305</v>
      </c>
      <c r="G78" s="18" t="s">
        <v>306</v>
      </c>
    </row>
    <row r="79" spans="2:7">
      <c r="B79" s="16">
        <v>39</v>
      </c>
      <c r="C79" s="18" t="s">
        <v>307</v>
      </c>
      <c r="D79" s="18" t="s">
        <v>308</v>
      </c>
      <c r="E79" s="18" t="s">
        <v>309</v>
      </c>
      <c r="F79" s="18" t="s">
        <v>310</v>
      </c>
      <c r="G79" s="18" t="s">
        <v>307</v>
      </c>
    </row>
    <row r="80" spans="2:7">
      <c r="B80" s="16">
        <v>40</v>
      </c>
      <c r="C80" s="18" t="s">
        <v>311</v>
      </c>
      <c r="D80" s="20" t="s">
        <v>312</v>
      </c>
      <c r="E80" s="18" t="s">
        <v>313</v>
      </c>
      <c r="F80" s="18" t="s">
        <v>314</v>
      </c>
      <c r="G80" s="18" t="s">
        <v>315</v>
      </c>
    </row>
    <row r="81" spans="2:8">
      <c r="B81" s="16">
        <v>41</v>
      </c>
      <c r="C81" s="18" t="s">
        <v>316</v>
      </c>
      <c r="D81" s="22" t="s">
        <v>317</v>
      </c>
      <c r="E81" s="18" t="s">
        <v>318</v>
      </c>
      <c r="F81" s="18" t="s">
        <v>319</v>
      </c>
      <c r="G81" s="18" t="s">
        <v>320</v>
      </c>
    </row>
    <row r="82" spans="2:8">
      <c r="B82" s="16">
        <v>42</v>
      </c>
      <c r="C82" s="18" t="s">
        <v>321</v>
      </c>
      <c r="D82" s="20" t="s">
        <v>322</v>
      </c>
      <c r="E82" s="18" t="s">
        <v>323</v>
      </c>
      <c r="F82" s="18" t="s">
        <v>324</v>
      </c>
      <c r="G82" s="18" t="s">
        <v>325</v>
      </c>
    </row>
    <row r="83" spans="2:8">
      <c r="B83" s="16">
        <v>43</v>
      </c>
      <c r="C83" s="18" t="s">
        <v>326</v>
      </c>
      <c r="D83" s="18" t="s">
        <v>327</v>
      </c>
      <c r="E83" s="18" t="s">
        <v>328</v>
      </c>
      <c r="F83" s="18" t="s">
        <v>329</v>
      </c>
      <c r="G83" s="18" t="s">
        <v>330</v>
      </c>
    </row>
    <row r="84" spans="2:8">
      <c r="B84" s="16">
        <v>44</v>
      </c>
      <c r="C84" s="18" t="s">
        <v>307</v>
      </c>
      <c r="D84" s="22" t="s">
        <v>308</v>
      </c>
      <c r="E84" s="18" t="s">
        <v>309</v>
      </c>
      <c r="F84" s="18" t="s">
        <v>310</v>
      </c>
      <c r="G84" s="18" t="s">
        <v>307</v>
      </c>
    </row>
    <row r="85" spans="2:8">
      <c r="B85" s="16">
        <v>45</v>
      </c>
      <c r="C85" s="18" t="s">
        <v>311</v>
      </c>
      <c r="D85" s="20" t="s">
        <v>312</v>
      </c>
      <c r="E85" s="18" t="s">
        <v>313</v>
      </c>
      <c r="F85" s="18" t="s">
        <v>314</v>
      </c>
      <c r="G85" s="18" t="s">
        <v>315</v>
      </c>
    </row>
    <row r="86" spans="2:8">
      <c r="B86" s="16">
        <v>46</v>
      </c>
      <c r="C86" s="18" t="s">
        <v>316</v>
      </c>
      <c r="D86" s="22" t="s">
        <v>317</v>
      </c>
      <c r="E86" s="18" t="s">
        <v>318</v>
      </c>
      <c r="F86" s="18" t="s">
        <v>319</v>
      </c>
      <c r="G86" s="18" t="s">
        <v>320</v>
      </c>
    </row>
    <row r="87" spans="2:8">
      <c r="B87" s="16">
        <v>47</v>
      </c>
      <c r="C87" s="18" t="s">
        <v>321</v>
      </c>
      <c r="D87" s="20" t="s">
        <v>322</v>
      </c>
      <c r="E87" s="18" t="s">
        <v>323</v>
      </c>
      <c r="F87" s="18" t="s">
        <v>324</v>
      </c>
      <c r="G87" s="18" t="s">
        <v>325</v>
      </c>
    </row>
    <row r="89" spans="2:8" ht="15.75" thickBot="1">
      <c r="B89"/>
      <c r="C89" s="175" t="s">
        <v>331</v>
      </c>
      <c r="D89" s="175"/>
      <c r="E89" s="175"/>
      <c r="F89" s="175"/>
      <c r="G89" s="175"/>
    </row>
    <row r="90" spans="2:8">
      <c r="B90"/>
      <c r="C90"/>
      <c r="D90"/>
      <c r="E90"/>
      <c r="F90"/>
      <c r="G90"/>
      <c r="H90"/>
    </row>
    <row r="91" spans="2:8">
      <c r="B91" s="16" t="s">
        <v>9</v>
      </c>
      <c r="C91" s="18" t="s">
        <v>4</v>
      </c>
      <c r="D91" s="18" t="s">
        <v>1</v>
      </c>
      <c r="E91" s="18" t="s">
        <v>5</v>
      </c>
      <c r="F91" s="18" t="s">
        <v>6</v>
      </c>
      <c r="G91" s="18" t="s">
        <v>7</v>
      </c>
      <c r="H91" s="18" t="s">
        <v>10</v>
      </c>
    </row>
    <row r="92" spans="2:8">
      <c r="B92" s="16">
        <v>1</v>
      </c>
      <c r="C92" s="18" t="s">
        <v>332</v>
      </c>
      <c r="D92" s="18" t="s">
        <v>333</v>
      </c>
      <c r="E92" s="18" t="s">
        <v>334</v>
      </c>
      <c r="F92" s="18" t="s">
        <v>335</v>
      </c>
      <c r="G92" s="18" t="s">
        <v>336</v>
      </c>
    </row>
    <row r="93" spans="2:8">
      <c r="B93" s="16">
        <v>2</v>
      </c>
      <c r="C93" s="18" t="s">
        <v>245</v>
      </c>
      <c r="D93" s="18" t="s">
        <v>246</v>
      </c>
      <c r="E93" s="19" t="s">
        <v>265</v>
      </c>
      <c r="F93" s="19" t="s">
        <v>266</v>
      </c>
      <c r="G93" s="19" t="s">
        <v>267</v>
      </c>
    </row>
    <row r="94" spans="2:8">
      <c r="B94" s="16">
        <v>3</v>
      </c>
      <c r="C94" s="18" t="s">
        <v>337</v>
      </c>
      <c r="D94" s="19" t="s">
        <v>338</v>
      </c>
      <c r="E94" s="19" t="s">
        <v>339</v>
      </c>
      <c r="F94" s="19" t="s">
        <v>340</v>
      </c>
      <c r="G94" s="19" t="s">
        <v>341</v>
      </c>
    </row>
    <row r="95" spans="2:8">
      <c r="B95" s="16">
        <v>4</v>
      </c>
      <c r="C95" s="18" t="s">
        <v>342</v>
      </c>
      <c r="D95" s="18" t="s">
        <v>343</v>
      </c>
      <c r="E95" s="19" t="s">
        <v>344</v>
      </c>
      <c r="F95" s="19" t="s">
        <v>345</v>
      </c>
      <c r="G95" s="19" t="s">
        <v>346</v>
      </c>
    </row>
    <row r="96" spans="2:8">
      <c r="B96" s="16">
        <v>5</v>
      </c>
      <c r="C96" s="18" t="s">
        <v>255</v>
      </c>
      <c r="D96" s="18" t="s">
        <v>256</v>
      </c>
      <c r="E96" s="19" t="s">
        <v>284</v>
      </c>
      <c r="F96" s="19" t="s">
        <v>285</v>
      </c>
      <c r="G96" s="19" t="s">
        <v>286</v>
      </c>
    </row>
    <row r="97" spans="2:7">
      <c r="B97" s="16">
        <v>6</v>
      </c>
      <c r="C97" s="18" t="s">
        <v>347</v>
      </c>
      <c r="D97" s="19" t="s">
        <v>348</v>
      </c>
      <c r="E97" s="19" t="s">
        <v>349</v>
      </c>
      <c r="F97" s="19" t="s">
        <v>350</v>
      </c>
      <c r="G97" s="19" t="s">
        <v>351</v>
      </c>
    </row>
    <row r="98" spans="2:7">
      <c r="B98" s="16">
        <v>7</v>
      </c>
      <c r="C98" s="18" t="s">
        <v>342</v>
      </c>
      <c r="D98" s="18" t="s">
        <v>343</v>
      </c>
      <c r="E98" s="19" t="s">
        <v>344</v>
      </c>
      <c r="F98" s="19" t="s">
        <v>345</v>
      </c>
      <c r="G98" s="19" t="s">
        <v>346</v>
      </c>
    </row>
    <row r="99" spans="2:7">
      <c r="B99" s="16">
        <v>8</v>
      </c>
      <c r="C99" s="18" t="s">
        <v>352</v>
      </c>
      <c r="D99" s="18" t="s">
        <v>353</v>
      </c>
      <c r="E99" s="19" t="s">
        <v>354</v>
      </c>
      <c r="F99" s="19" t="s">
        <v>355</v>
      </c>
      <c r="G99" s="19" t="s">
        <v>356</v>
      </c>
    </row>
    <row r="100" spans="2:7">
      <c r="B100" s="16">
        <v>9</v>
      </c>
      <c r="C100" s="18" t="s">
        <v>357</v>
      </c>
      <c r="D100" s="18" t="s">
        <v>358</v>
      </c>
      <c r="E100" s="19" t="s">
        <v>359</v>
      </c>
      <c r="F100" s="19" t="s">
        <v>360</v>
      </c>
      <c r="G100" s="19" t="s">
        <v>361</v>
      </c>
    </row>
    <row r="101" spans="2:7">
      <c r="B101" s="16">
        <v>10</v>
      </c>
      <c r="C101" s="18" t="s">
        <v>362</v>
      </c>
      <c r="D101" s="18" t="s">
        <v>363</v>
      </c>
      <c r="E101" s="19" t="s">
        <v>364</v>
      </c>
      <c r="F101" s="19" t="s">
        <v>365</v>
      </c>
      <c r="G101" s="19" t="s">
        <v>366</v>
      </c>
    </row>
    <row r="102" spans="2:7">
      <c r="B102" s="16">
        <v>11</v>
      </c>
      <c r="C102" s="18" t="s">
        <v>245</v>
      </c>
      <c r="D102" s="18" t="s">
        <v>246</v>
      </c>
      <c r="E102" s="19" t="s">
        <v>265</v>
      </c>
      <c r="F102" s="19" t="s">
        <v>266</v>
      </c>
      <c r="G102" s="19" t="s">
        <v>267</v>
      </c>
    </row>
    <row r="103" spans="2:7">
      <c r="B103" s="16">
        <v>12</v>
      </c>
      <c r="C103" s="18" t="s">
        <v>337</v>
      </c>
      <c r="D103" s="19" t="s">
        <v>338</v>
      </c>
      <c r="E103" s="19" t="s">
        <v>339</v>
      </c>
      <c r="F103" s="19" t="s">
        <v>340</v>
      </c>
      <c r="G103" s="19" t="s">
        <v>341</v>
      </c>
    </row>
    <row r="104" spans="2:7">
      <c r="B104" s="16">
        <v>13</v>
      </c>
      <c r="C104" s="18" t="s">
        <v>342</v>
      </c>
      <c r="D104" s="18" t="s">
        <v>343</v>
      </c>
      <c r="E104" s="19" t="s">
        <v>344</v>
      </c>
      <c r="F104" s="19" t="s">
        <v>345</v>
      </c>
      <c r="G104" s="19" t="s">
        <v>346</v>
      </c>
    </row>
    <row r="105" spans="2:7">
      <c r="B105" s="16">
        <v>14</v>
      </c>
      <c r="C105" s="18" t="s">
        <v>255</v>
      </c>
      <c r="D105" s="18" t="s">
        <v>256</v>
      </c>
      <c r="E105" s="19" t="s">
        <v>284</v>
      </c>
      <c r="F105" s="19" t="s">
        <v>285</v>
      </c>
      <c r="G105" s="19" t="s">
        <v>286</v>
      </c>
    </row>
    <row r="106" spans="2:7">
      <c r="B106" s="16">
        <v>15</v>
      </c>
      <c r="C106" s="18" t="s">
        <v>347</v>
      </c>
      <c r="D106" s="19" t="s">
        <v>348</v>
      </c>
      <c r="E106" s="19" t="s">
        <v>349</v>
      </c>
      <c r="F106" s="19" t="s">
        <v>350</v>
      </c>
      <c r="G106" s="19" t="s">
        <v>351</v>
      </c>
    </row>
    <row r="107" spans="2:7">
      <c r="B107" s="16">
        <v>16</v>
      </c>
      <c r="C107" s="18" t="s">
        <v>342</v>
      </c>
      <c r="D107" s="18" t="s">
        <v>343</v>
      </c>
      <c r="E107" s="19" t="s">
        <v>344</v>
      </c>
      <c r="F107" s="19" t="s">
        <v>345</v>
      </c>
      <c r="G107" s="19" t="s">
        <v>346</v>
      </c>
    </row>
    <row r="108" spans="2:7">
      <c r="B108" s="16">
        <v>17</v>
      </c>
      <c r="C108" s="18" t="s">
        <v>352</v>
      </c>
      <c r="D108" s="18" t="s">
        <v>353</v>
      </c>
      <c r="E108" s="19" t="s">
        <v>354</v>
      </c>
      <c r="F108" s="19" t="s">
        <v>355</v>
      </c>
      <c r="G108" s="19" t="s">
        <v>356</v>
      </c>
    </row>
    <row r="109" spans="2:7">
      <c r="B109" s="16">
        <v>18</v>
      </c>
      <c r="C109" s="18" t="s">
        <v>357</v>
      </c>
      <c r="D109" s="18" t="s">
        <v>358</v>
      </c>
      <c r="E109" s="19" t="s">
        <v>359</v>
      </c>
      <c r="F109" s="19" t="s">
        <v>360</v>
      </c>
      <c r="G109" s="19" t="s">
        <v>361</v>
      </c>
    </row>
    <row r="110" spans="2:7">
      <c r="B110" s="16">
        <v>19</v>
      </c>
      <c r="C110" s="19" t="s">
        <v>367</v>
      </c>
      <c r="D110" s="19" t="s">
        <v>368</v>
      </c>
      <c r="E110" s="19" t="s">
        <v>369</v>
      </c>
      <c r="F110" s="19" t="s">
        <v>370</v>
      </c>
      <c r="G110" s="19" t="s">
        <v>371</v>
      </c>
    </row>
    <row r="111" spans="2:7">
      <c r="B111" s="16">
        <v>20</v>
      </c>
      <c r="C111" s="19" t="s">
        <v>372</v>
      </c>
      <c r="D111" s="19" t="s">
        <v>373</v>
      </c>
      <c r="E111" s="19" t="s">
        <v>374</v>
      </c>
      <c r="F111" s="19" t="s">
        <v>375</v>
      </c>
      <c r="G111" s="19" t="s">
        <v>376</v>
      </c>
    </row>
    <row r="112" spans="2:7">
      <c r="B112" s="16">
        <v>21</v>
      </c>
      <c r="C112" s="19" t="s">
        <v>377</v>
      </c>
      <c r="D112" s="18" t="s">
        <v>378</v>
      </c>
      <c r="E112" s="19" t="s">
        <v>379</v>
      </c>
      <c r="F112" s="19" t="s">
        <v>380</v>
      </c>
      <c r="G112" s="19" t="s">
        <v>381</v>
      </c>
    </row>
    <row r="113" spans="2:7">
      <c r="B113" s="16">
        <v>22</v>
      </c>
      <c r="C113" s="19" t="s">
        <v>382</v>
      </c>
      <c r="D113" s="19" t="s">
        <v>383</v>
      </c>
      <c r="E113" s="19" t="s">
        <v>384</v>
      </c>
      <c r="F113" s="19" t="s">
        <v>385</v>
      </c>
      <c r="G113" s="19" t="s">
        <v>386</v>
      </c>
    </row>
    <row r="114" spans="2:7">
      <c r="B114" s="16">
        <v>23</v>
      </c>
      <c r="C114" s="19" t="s">
        <v>372</v>
      </c>
      <c r="D114" s="19" t="s">
        <v>373</v>
      </c>
      <c r="E114" s="19" t="s">
        <v>374</v>
      </c>
      <c r="F114" s="19" t="s">
        <v>375</v>
      </c>
      <c r="G114" s="19" t="s">
        <v>376</v>
      </c>
    </row>
    <row r="115" spans="2:7">
      <c r="B115" s="16">
        <v>24</v>
      </c>
      <c r="C115" s="19" t="s">
        <v>387</v>
      </c>
      <c r="D115" s="18" t="s">
        <v>388</v>
      </c>
      <c r="E115" s="19" t="s">
        <v>389</v>
      </c>
      <c r="F115" s="19" t="s">
        <v>390</v>
      </c>
      <c r="G115" s="19" t="s">
        <v>391</v>
      </c>
    </row>
    <row r="116" spans="2:7">
      <c r="B116" s="16">
        <v>25</v>
      </c>
      <c r="C116" s="19" t="s">
        <v>392</v>
      </c>
      <c r="D116" s="19" t="s">
        <v>393</v>
      </c>
      <c r="E116" s="19" t="s">
        <v>394</v>
      </c>
      <c r="F116" s="19" t="s">
        <v>395</v>
      </c>
      <c r="G116" s="19" t="s">
        <v>396</v>
      </c>
    </row>
    <row r="117" spans="2:7">
      <c r="B117" s="16">
        <v>26</v>
      </c>
      <c r="C117" s="18" t="s">
        <v>397</v>
      </c>
      <c r="D117" s="18" t="s">
        <v>398</v>
      </c>
      <c r="E117" s="18" t="s">
        <v>399</v>
      </c>
      <c r="F117" s="18" t="s">
        <v>400</v>
      </c>
      <c r="G117" s="18" t="s">
        <v>401</v>
      </c>
    </row>
    <row r="118" spans="2:7">
      <c r="B118" s="16">
        <v>27</v>
      </c>
      <c r="C118" s="18" t="s">
        <v>402</v>
      </c>
      <c r="D118" s="18" t="s">
        <v>403</v>
      </c>
      <c r="E118" s="18" t="s">
        <v>404</v>
      </c>
      <c r="F118" s="18" t="s">
        <v>405</v>
      </c>
      <c r="G118" s="18" t="s">
        <v>406</v>
      </c>
    </row>
    <row r="119" spans="2:7">
      <c r="B119" s="16">
        <v>28</v>
      </c>
      <c r="C119" s="18" t="s">
        <v>407</v>
      </c>
      <c r="D119" s="18" t="s">
        <v>408</v>
      </c>
      <c r="E119" s="18" t="s">
        <v>409</v>
      </c>
      <c r="F119" s="18" t="s">
        <v>410</v>
      </c>
      <c r="G119" s="18" t="s">
        <v>411</v>
      </c>
    </row>
    <row r="120" spans="2:7">
      <c r="B120" s="16">
        <v>29</v>
      </c>
      <c r="C120" s="18" t="s">
        <v>412</v>
      </c>
      <c r="D120" s="18" t="s">
        <v>413</v>
      </c>
      <c r="E120" s="18" t="s">
        <v>414</v>
      </c>
      <c r="F120" s="18" t="s">
        <v>415</v>
      </c>
      <c r="G120" s="18" t="s">
        <v>416</v>
      </c>
    </row>
    <row r="121" spans="2:7">
      <c r="B121" s="16">
        <v>30</v>
      </c>
      <c r="C121" s="18" t="s">
        <v>417</v>
      </c>
      <c r="D121" s="18" t="s">
        <v>418</v>
      </c>
      <c r="E121" s="18" t="s">
        <v>419</v>
      </c>
      <c r="F121" s="18" t="s">
        <v>420</v>
      </c>
      <c r="G121" s="18" t="s">
        <v>421</v>
      </c>
    </row>
    <row r="122" spans="2:7">
      <c r="B122" s="16">
        <v>31</v>
      </c>
      <c r="C122" s="18" t="s">
        <v>377</v>
      </c>
      <c r="D122" s="18" t="s">
        <v>378</v>
      </c>
      <c r="E122" s="18" t="s">
        <v>379</v>
      </c>
      <c r="F122" s="18" t="s">
        <v>380</v>
      </c>
      <c r="G122" s="18" t="s">
        <v>381</v>
      </c>
    </row>
    <row r="123" spans="2:7">
      <c r="B123" s="16">
        <v>32</v>
      </c>
      <c r="C123" s="18" t="s">
        <v>422</v>
      </c>
      <c r="D123" s="18" t="s">
        <v>423</v>
      </c>
      <c r="E123" s="18" t="s">
        <v>424</v>
      </c>
      <c r="F123" s="18" t="s">
        <v>425</v>
      </c>
      <c r="G123" s="18" t="s">
        <v>426</v>
      </c>
    </row>
    <row r="124" spans="2:7">
      <c r="B124" s="16">
        <v>33</v>
      </c>
      <c r="C124" s="18" t="s">
        <v>427</v>
      </c>
      <c r="D124" s="18" t="s">
        <v>428</v>
      </c>
      <c r="E124" s="18" t="s">
        <v>429</v>
      </c>
      <c r="F124" s="18" t="s">
        <v>430</v>
      </c>
      <c r="G124" s="18" t="s">
        <v>431</v>
      </c>
    </row>
    <row r="125" spans="2:7">
      <c r="B125" s="16">
        <v>34</v>
      </c>
      <c r="C125" s="18" t="s">
        <v>432</v>
      </c>
      <c r="D125" s="18" t="s">
        <v>433</v>
      </c>
      <c r="E125" s="18" t="s">
        <v>434</v>
      </c>
      <c r="F125" s="18" t="s">
        <v>435</v>
      </c>
      <c r="G125" s="18" t="s">
        <v>436</v>
      </c>
    </row>
    <row r="126" spans="2:7">
      <c r="B126" s="16">
        <v>35</v>
      </c>
      <c r="C126" s="18" t="s">
        <v>437</v>
      </c>
      <c r="D126" s="18" t="s">
        <v>438</v>
      </c>
      <c r="E126" s="18" t="s">
        <v>439</v>
      </c>
      <c r="F126" s="18" t="s">
        <v>440</v>
      </c>
      <c r="G126" s="18" t="s">
        <v>441</v>
      </c>
    </row>
    <row r="127" spans="2:7">
      <c r="B127" s="16">
        <v>36</v>
      </c>
      <c r="C127" s="18" t="s">
        <v>442</v>
      </c>
      <c r="D127" s="18" t="s">
        <v>443</v>
      </c>
      <c r="E127" s="18" t="s">
        <v>444</v>
      </c>
      <c r="F127" s="18" t="s">
        <v>445</v>
      </c>
      <c r="G127" s="18" t="s">
        <v>446</v>
      </c>
    </row>
    <row r="128" spans="2:7">
      <c r="B128" s="16">
        <v>37</v>
      </c>
      <c r="C128" s="18" t="s">
        <v>447</v>
      </c>
      <c r="D128" s="18" t="s">
        <v>448</v>
      </c>
      <c r="E128" s="18" t="s">
        <v>449</v>
      </c>
      <c r="F128" s="18" t="s">
        <v>450</v>
      </c>
      <c r="G128" s="18" t="s">
        <v>451</v>
      </c>
    </row>
    <row r="130" spans="2:8" ht="15.75" thickBot="1">
      <c r="B130"/>
      <c r="C130" s="175" t="s">
        <v>452</v>
      </c>
      <c r="D130" s="175"/>
      <c r="E130" s="175"/>
      <c r="F130" s="175"/>
      <c r="G130" s="175"/>
    </row>
    <row r="131" spans="2:8">
      <c r="B131"/>
      <c r="C131"/>
      <c r="D131"/>
      <c r="E131"/>
      <c r="F131"/>
      <c r="G131"/>
      <c r="H131"/>
    </row>
    <row r="132" spans="2:8">
      <c r="B132" s="16" t="s">
        <v>9</v>
      </c>
      <c r="C132" s="18" t="s">
        <v>4</v>
      </c>
      <c r="D132" s="18" t="s">
        <v>1</v>
      </c>
      <c r="E132" s="18" t="s">
        <v>5</v>
      </c>
      <c r="F132" s="18" t="s">
        <v>6</v>
      </c>
      <c r="G132" s="18" t="s">
        <v>7</v>
      </c>
      <c r="H132" s="18" t="s">
        <v>10</v>
      </c>
    </row>
    <row r="133" spans="2:8">
      <c r="B133" s="16">
        <v>1</v>
      </c>
      <c r="C133" s="18" t="s">
        <v>453</v>
      </c>
      <c r="D133" s="18" t="s">
        <v>454</v>
      </c>
    </row>
    <row r="134" spans="2:8">
      <c r="B134" s="16">
        <v>2</v>
      </c>
      <c r="D134" s="18" t="s">
        <v>455</v>
      </c>
      <c r="E134" s="19"/>
      <c r="F134" s="19"/>
      <c r="G134" s="19"/>
    </row>
    <row r="135" spans="2:8">
      <c r="B135" s="16">
        <v>3</v>
      </c>
      <c r="C135" s="18" t="s">
        <v>147</v>
      </c>
      <c r="D135" s="18" t="s">
        <v>148</v>
      </c>
      <c r="E135" s="18" t="s">
        <v>149</v>
      </c>
      <c r="F135" s="18" t="s">
        <v>150</v>
      </c>
      <c r="G135" s="18" t="s">
        <v>151</v>
      </c>
    </row>
    <row r="136" spans="2:8">
      <c r="B136" s="16">
        <v>4</v>
      </c>
      <c r="C136" s="18" t="s">
        <v>164</v>
      </c>
      <c r="D136" s="18" t="s">
        <v>165</v>
      </c>
      <c r="E136" s="19" t="s">
        <v>166</v>
      </c>
      <c r="F136" s="19" t="s">
        <v>167</v>
      </c>
      <c r="G136" s="19" t="s">
        <v>168</v>
      </c>
    </row>
    <row r="137" spans="2:8">
      <c r="B137" s="16">
        <v>5</v>
      </c>
      <c r="C137" s="18" t="s">
        <v>169</v>
      </c>
      <c r="D137" s="18" t="s">
        <v>170</v>
      </c>
      <c r="E137" s="18" t="s">
        <v>171</v>
      </c>
      <c r="F137" s="18" t="s">
        <v>172</v>
      </c>
      <c r="G137" s="18" t="s">
        <v>173</v>
      </c>
    </row>
    <row r="138" spans="2:8">
      <c r="B138" s="16">
        <v>6</v>
      </c>
      <c r="C138" s="18" t="s">
        <v>174</v>
      </c>
      <c r="D138" s="18" t="s">
        <v>175</v>
      </c>
      <c r="E138" s="19" t="s">
        <v>176</v>
      </c>
      <c r="F138" s="19" t="s">
        <v>175</v>
      </c>
      <c r="G138" s="19" t="s">
        <v>177</v>
      </c>
    </row>
    <row r="139" spans="2:8">
      <c r="B139" s="16">
        <v>7</v>
      </c>
      <c r="C139" s="18" t="s">
        <v>156</v>
      </c>
      <c r="D139" s="18" t="s">
        <v>157</v>
      </c>
      <c r="E139" s="19" t="s">
        <v>158</v>
      </c>
      <c r="F139" s="19" t="s">
        <v>159</v>
      </c>
      <c r="G139" s="19" t="s">
        <v>160</v>
      </c>
    </row>
    <row r="140" spans="2:8">
      <c r="B140" s="16">
        <v>8</v>
      </c>
      <c r="C140" s="18" t="s">
        <v>161</v>
      </c>
      <c r="D140" s="18" t="s">
        <v>162</v>
      </c>
      <c r="E140" s="19" t="s">
        <v>163</v>
      </c>
      <c r="F140" s="19" t="s">
        <v>162</v>
      </c>
      <c r="G140" s="19" t="s">
        <v>161</v>
      </c>
    </row>
    <row r="141" spans="2:8">
      <c r="B141" s="16">
        <v>9</v>
      </c>
      <c r="C141" s="18" t="s">
        <v>260</v>
      </c>
      <c r="D141" s="18" t="s">
        <v>261</v>
      </c>
    </row>
    <row r="142" spans="2:8">
      <c r="B142" s="16">
        <v>10</v>
      </c>
      <c r="D142" s="18" t="s">
        <v>456</v>
      </c>
    </row>
    <row r="143" spans="2:8">
      <c r="B143" s="16">
        <v>11</v>
      </c>
      <c r="D143" s="18" t="s">
        <v>327</v>
      </c>
    </row>
    <row r="144" spans="2:8">
      <c r="B144" s="16">
        <v>12</v>
      </c>
      <c r="D144" s="248" t="s">
        <v>457</v>
      </c>
    </row>
    <row r="145" spans="2:7">
      <c r="B145" s="16">
        <v>13</v>
      </c>
      <c r="D145" s="248" t="s">
        <v>458</v>
      </c>
    </row>
    <row r="146" spans="2:7">
      <c r="B146" s="16">
        <v>14</v>
      </c>
      <c r="D146" s="248" t="s">
        <v>459</v>
      </c>
    </row>
    <row r="147" spans="2:7">
      <c r="B147" s="16">
        <v>15</v>
      </c>
      <c r="D147" s="248" t="s">
        <v>460</v>
      </c>
    </row>
    <row r="148" spans="2:7">
      <c r="B148" s="16">
        <v>16</v>
      </c>
      <c r="D148" s="248" t="s">
        <v>461</v>
      </c>
      <c r="E148" s="19"/>
      <c r="F148" s="19"/>
      <c r="G148" s="19"/>
    </row>
    <row r="149" spans="2:7">
      <c r="B149" s="16">
        <v>17</v>
      </c>
      <c r="D149" s="249" t="s">
        <v>462</v>
      </c>
      <c r="E149" s="19"/>
      <c r="F149" s="19"/>
      <c r="G149" s="19"/>
    </row>
    <row r="150" spans="2:7">
      <c r="B150" s="16">
        <v>18</v>
      </c>
      <c r="C150" s="19"/>
      <c r="D150" s="18" t="s">
        <v>463</v>
      </c>
      <c r="E150" s="19"/>
      <c r="F150" s="19"/>
      <c r="G150" s="19"/>
    </row>
    <row r="151" spans="2:7">
      <c r="B151" s="16">
        <v>19</v>
      </c>
      <c r="C151" s="19"/>
      <c r="D151" s="18" t="s">
        <v>193</v>
      </c>
      <c r="E151" s="19"/>
      <c r="F151" s="19"/>
      <c r="G151" s="19"/>
    </row>
    <row r="152" spans="2:7">
      <c r="B152" s="16">
        <v>20</v>
      </c>
      <c r="C152" s="19"/>
      <c r="D152" s="18" t="s">
        <v>198</v>
      </c>
      <c r="E152" s="19"/>
      <c r="F152" s="19"/>
      <c r="G152" s="19"/>
    </row>
    <row r="153" spans="2:7">
      <c r="B153" s="16">
        <v>21</v>
      </c>
      <c r="C153" s="19"/>
      <c r="D153" s="18" t="s">
        <v>203</v>
      </c>
      <c r="E153" s="19"/>
      <c r="F153" s="19"/>
      <c r="G153" s="19"/>
    </row>
    <row r="154" spans="2:7">
      <c r="B154" s="16">
        <v>22</v>
      </c>
      <c r="C154" s="19"/>
      <c r="D154" s="18" t="s">
        <v>208</v>
      </c>
      <c r="E154" s="19"/>
      <c r="F154" s="19"/>
      <c r="G154" s="19"/>
    </row>
    <row r="155" spans="2:7">
      <c r="B155" s="16">
        <v>23</v>
      </c>
      <c r="C155" s="19"/>
      <c r="D155" s="18" t="s">
        <v>464</v>
      </c>
      <c r="E155" s="19"/>
      <c r="F155" s="19"/>
      <c r="G155" s="19"/>
    </row>
    <row r="156" spans="2:7">
      <c r="B156" s="16">
        <v>24</v>
      </c>
      <c r="C156" s="19"/>
      <c r="D156" s="18" t="s">
        <v>465</v>
      </c>
      <c r="E156" s="19"/>
      <c r="F156" s="19"/>
      <c r="G156" s="19"/>
    </row>
    <row r="157" spans="2:7">
      <c r="B157" s="16">
        <v>25</v>
      </c>
      <c r="D157" s="18" t="s">
        <v>466</v>
      </c>
    </row>
    <row r="158" spans="2:7">
      <c r="B158" s="16">
        <v>26</v>
      </c>
      <c r="D158" s="18" t="s">
        <v>467</v>
      </c>
    </row>
    <row r="159" spans="2:7">
      <c r="B159" s="16">
        <v>27</v>
      </c>
      <c r="D159" s="18" t="s">
        <v>246</v>
      </c>
    </row>
    <row r="160" spans="2:7">
      <c r="B160" s="16">
        <v>28</v>
      </c>
      <c r="D160" s="18" t="s">
        <v>251</v>
      </c>
    </row>
    <row r="161" spans="2:4">
      <c r="B161" s="16">
        <v>29</v>
      </c>
      <c r="D161" s="18" t="s">
        <v>468</v>
      </c>
    </row>
    <row r="162" spans="2:4">
      <c r="B162" s="16">
        <v>30</v>
      </c>
      <c r="D162" s="18" t="s">
        <v>256</v>
      </c>
    </row>
    <row r="163" spans="2:4">
      <c r="B163" s="16">
        <v>31</v>
      </c>
      <c r="D163" s="18" t="s">
        <v>261</v>
      </c>
    </row>
    <row r="164" spans="2:4">
      <c r="B164" s="16">
        <v>32</v>
      </c>
      <c r="C164" s="117"/>
      <c r="D164" s="18" t="s">
        <v>269</v>
      </c>
    </row>
    <row r="165" spans="2:4">
      <c r="B165" s="16">
        <v>33</v>
      </c>
      <c r="C165" s="117"/>
      <c r="D165" s="18" t="s">
        <v>273</v>
      </c>
    </row>
    <row r="166" spans="2:4">
      <c r="B166" s="16">
        <v>34</v>
      </c>
      <c r="C166" s="117"/>
      <c r="D166" s="18" t="s">
        <v>277</v>
      </c>
    </row>
    <row r="167" spans="2:4">
      <c r="B167" s="16">
        <v>35</v>
      </c>
      <c r="C167" s="117"/>
      <c r="D167" s="18" t="s">
        <v>293</v>
      </c>
    </row>
    <row r="168" spans="2:4">
      <c r="B168" s="16">
        <v>36</v>
      </c>
      <c r="C168" s="117"/>
      <c r="D168" s="18" t="s">
        <v>273</v>
      </c>
    </row>
    <row r="169" spans="2:4">
      <c r="B169" s="16">
        <v>37</v>
      </c>
      <c r="C169" s="132"/>
      <c r="D169" s="18" t="s">
        <v>277</v>
      </c>
    </row>
    <row r="170" spans="2:4">
      <c r="B170" s="16">
        <v>38</v>
      </c>
      <c r="D170" s="18" t="s">
        <v>469</v>
      </c>
    </row>
    <row r="171" spans="2:4">
      <c r="B171" s="16">
        <v>39</v>
      </c>
      <c r="D171" s="18" t="s">
        <v>470</v>
      </c>
    </row>
    <row r="172" spans="2:4">
      <c r="B172" s="16">
        <v>40</v>
      </c>
      <c r="D172" s="18" t="s">
        <v>312</v>
      </c>
    </row>
    <row r="173" spans="2:4">
      <c r="B173" s="16">
        <v>41</v>
      </c>
      <c r="D173" s="18" t="s">
        <v>317</v>
      </c>
    </row>
    <row r="174" spans="2:4">
      <c r="B174" s="16">
        <v>42</v>
      </c>
      <c r="D174" s="18" t="s">
        <v>322</v>
      </c>
    </row>
    <row r="175" spans="2:4">
      <c r="B175" s="16">
        <v>43</v>
      </c>
      <c r="D175" t="s">
        <v>471</v>
      </c>
    </row>
    <row r="176" spans="2:4">
      <c r="B176" s="16">
        <v>44</v>
      </c>
      <c r="D176" t="s">
        <v>472</v>
      </c>
    </row>
    <row r="177" spans="2:4">
      <c r="B177" s="16">
        <v>45</v>
      </c>
      <c r="D177" s="18" t="s">
        <v>473</v>
      </c>
    </row>
    <row r="178" spans="2:4">
      <c r="B178" s="16">
        <v>46</v>
      </c>
      <c r="D178" s="18" t="s">
        <v>474</v>
      </c>
    </row>
    <row r="179" spans="2:4">
      <c r="B179" s="16">
        <v>47</v>
      </c>
      <c r="D179" s="18" t="s">
        <v>475</v>
      </c>
    </row>
    <row r="180" spans="2:4">
      <c r="B180" s="16">
        <v>48</v>
      </c>
      <c r="D180" s="18" t="s">
        <v>476</v>
      </c>
    </row>
    <row r="181" spans="2:4">
      <c r="B181" s="16">
        <v>49</v>
      </c>
      <c r="D181" s="18" t="s">
        <v>193</v>
      </c>
    </row>
    <row r="182" spans="2:4">
      <c r="B182" s="16">
        <v>50</v>
      </c>
      <c r="D182" s="18" t="s">
        <v>198</v>
      </c>
    </row>
    <row r="183" spans="2:4">
      <c r="B183" s="16">
        <v>51</v>
      </c>
      <c r="D183" s="18" t="s">
        <v>477</v>
      </c>
    </row>
    <row r="184" spans="2:4">
      <c r="B184" s="16">
        <v>52</v>
      </c>
      <c r="D184" s="18" t="s">
        <v>478</v>
      </c>
    </row>
    <row r="185" spans="2:4">
      <c r="B185" s="16">
        <v>53</v>
      </c>
      <c r="D185" s="18" t="s">
        <v>479</v>
      </c>
    </row>
    <row r="186" spans="2:4">
      <c r="B186" s="16">
        <v>54</v>
      </c>
      <c r="D186" s="18" t="s">
        <v>480</v>
      </c>
    </row>
    <row r="187" spans="2:4">
      <c r="B187" s="16">
        <v>55</v>
      </c>
      <c r="D187" s="18" t="s">
        <v>481</v>
      </c>
    </row>
    <row r="188" spans="2:4" ht="30">
      <c r="B188" s="16">
        <v>56</v>
      </c>
      <c r="D188" s="18" t="s">
        <v>482</v>
      </c>
    </row>
    <row r="189" spans="2:4">
      <c r="B189" s="16">
        <v>57</v>
      </c>
      <c r="D189" s="18" t="s">
        <v>483</v>
      </c>
    </row>
    <row r="190" spans="2:4">
      <c r="B190" s="16">
        <v>58</v>
      </c>
      <c r="D190" s="18" t="s">
        <v>484</v>
      </c>
    </row>
    <row r="191" spans="2:4" ht="30">
      <c r="B191" s="16">
        <v>59</v>
      </c>
      <c r="D191" s="18" t="s">
        <v>485</v>
      </c>
    </row>
    <row r="192" spans="2:4">
      <c r="B192" s="16">
        <v>60</v>
      </c>
      <c r="C192" s="18" t="s">
        <v>486</v>
      </c>
      <c r="D192" s="18" t="s">
        <v>487</v>
      </c>
    </row>
    <row r="193" spans="2:4">
      <c r="B193" s="16">
        <v>61</v>
      </c>
      <c r="D193" s="18" t="s">
        <v>488</v>
      </c>
    </row>
    <row r="194" spans="2:4">
      <c r="B194" s="16">
        <v>62</v>
      </c>
      <c r="D194" s="18" t="s">
        <v>489</v>
      </c>
    </row>
    <row r="195" spans="2:4">
      <c r="B195" s="16">
        <v>63</v>
      </c>
      <c r="C195" s="18" t="s">
        <v>490</v>
      </c>
      <c r="D195" s="18" t="s">
        <v>491</v>
      </c>
    </row>
    <row r="196" spans="2:4">
      <c r="B196" s="16">
        <v>64</v>
      </c>
      <c r="D196" s="18" t="s">
        <v>492</v>
      </c>
    </row>
    <row r="197" spans="2:4">
      <c r="B197" s="16">
        <v>65</v>
      </c>
      <c r="D197" s="18" t="s">
        <v>493</v>
      </c>
    </row>
    <row r="198" spans="2:4">
      <c r="B198" s="16">
        <v>66</v>
      </c>
      <c r="D198" s="18" t="s">
        <v>469</v>
      </c>
    </row>
    <row r="199" spans="2:4" ht="30">
      <c r="B199" s="16">
        <v>67</v>
      </c>
      <c r="D199" s="18" t="s">
        <v>494</v>
      </c>
    </row>
    <row r="200" spans="2:4" ht="30">
      <c r="B200" s="16">
        <v>68</v>
      </c>
      <c r="D200" s="18" t="s">
        <v>495</v>
      </c>
    </row>
    <row r="201" spans="2:4">
      <c r="B201" s="16">
        <v>69</v>
      </c>
      <c r="C201" s="18" t="s">
        <v>496</v>
      </c>
      <c r="D201" s="18" t="s">
        <v>497</v>
      </c>
    </row>
    <row r="202" spans="2:4">
      <c r="B202" s="16">
        <v>70</v>
      </c>
      <c r="C202" s="18" t="s">
        <v>498</v>
      </c>
      <c r="D202" s="18" t="s">
        <v>499</v>
      </c>
    </row>
    <row r="203" spans="2:4">
      <c r="B203" s="16">
        <v>71</v>
      </c>
      <c r="C203" s="18" t="s">
        <v>500</v>
      </c>
      <c r="D203" s="18" t="s">
        <v>501</v>
      </c>
    </row>
    <row r="204" spans="2:4">
      <c r="B204" s="16">
        <v>72</v>
      </c>
      <c r="C204" s="18" t="s">
        <v>502</v>
      </c>
      <c r="D204" s="18" t="s">
        <v>503</v>
      </c>
    </row>
    <row r="205" spans="2:4">
      <c r="B205" s="16">
        <v>73</v>
      </c>
      <c r="C205" s="18" t="s">
        <v>504</v>
      </c>
      <c r="D205" s="18" t="s">
        <v>505</v>
      </c>
    </row>
    <row r="206" spans="2:4" ht="30">
      <c r="B206" s="16">
        <v>74</v>
      </c>
      <c r="D206" s="18" t="s">
        <v>506</v>
      </c>
    </row>
    <row r="207" spans="2:4" ht="30">
      <c r="B207" s="16">
        <v>75</v>
      </c>
      <c r="D207" s="18" t="s">
        <v>507</v>
      </c>
    </row>
    <row r="208" spans="2:4" ht="30">
      <c r="B208" s="16">
        <v>76</v>
      </c>
      <c r="D208" s="18" t="s">
        <v>508</v>
      </c>
    </row>
    <row r="209" spans="2:4" ht="30">
      <c r="B209" s="16">
        <v>77</v>
      </c>
      <c r="D209" s="18" t="s">
        <v>495</v>
      </c>
    </row>
    <row r="210" spans="2:4">
      <c r="B210" s="16">
        <v>78</v>
      </c>
      <c r="D210" s="18" t="s">
        <v>509</v>
      </c>
    </row>
    <row r="211" spans="2:4">
      <c r="B211" s="16">
        <v>79</v>
      </c>
      <c r="D211" s="18" t="s">
        <v>510</v>
      </c>
    </row>
    <row r="212" spans="2:4">
      <c r="B212" s="16">
        <v>80</v>
      </c>
      <c r="D212" s="18" t="s">
        <v>511</v>
      </c>
    </row>
    <row r="213" spans="2:4">
      <c r="B213" s="16">
        <v>81</v>
      </c>
      <c r="D213" s="18" t="s">
        <v>512</v>
      </c>
    </row>
    <row r="214" spans="2:4">
      <c r="B214" s="16">
        <v>82</v>
      </c>
      <c r="D214" s="18" t="s">
        <v>513</v>
      </c>
    </row>
    <row r="215" spans="2:4">
      <c r="B215" s="16">
        <v>83</v>
      </c>
      <c r="D215" s="18" t="s">
        <v>514</v>
      </c>
    </row>
    <row r="216" spans="2:4">
      <c r="B216" s="16">
        <v>84</v>
      </c>
      <c r="D216" s="18" t="s">
        <v>515</v>
      </c>
    </row>
    <row r="217" spans="2:4">
      <c r="B217" s="16">
        <v>85</v>
      </c>
      <c r="D217" s="18" t="s">
        <v>516</v>
      </c>
    </row>
    <row r="218" spans="2:4">
      <c r="B218" s="16">
        <v>86</v>
      </c>
      <c r="D218" s="18" t="s">
        <v>517</v>
      </c>
    </row>
    <row r="219" spans="2:4">
      <c r="B219" s="16">
        <v>87</v>
      </c>
      <c r="D219" s="18" t="s">
        <v>518</v>
      </c>
    </row>
    <row r="220" spans="2:4" ht="30">
      <c r="B220" s="16">
        <v>88</v>
      </c>
      <c r="D220" s="18" t="s">
        <v>519</v>
      </c>
    </row>
    <row r="221" spans="2:4" ht="30">
      <c r="B221" s="16">
        <v>89</v>
      </c>
      <c r="D221" s="18" t="s">
        <v>520</v>
      </c>
    </row>
    <row r="222" spans="2:4">
      <c r="B222" s="16">
        <v>90</v>
      </c>
      <c r="D222" s="18" t="s">
        <v>521</v>
      </c>
    </row>
    <row r="223" spans="2:4">
      <c r="B223" s="16">
        <v>91</v>
      </c>
      <c r="D223" s="18" t="s">
        <v>522</v>
      </c>
    </row>
    <row r="224" spans="2:4">
      <c r="B224" s="16">
        <v>92</v>
      </c>
      <c r="D224" s="18" t="s">
        <v>523</v>
      </c>
    </row>
    <row r="225" spans="2:4">
      <c r="B225" s="16">
        <v>93</v>
      </c>
      <c r="D225" s="18" t="s">
        <v>524</v>
      </c>
    </row>
    <row r="226" spans="2:4">
      <c r="B226" s="16">
        <v>94</v>
      </c>
      <c r="D226" s="18" t="s">
        <v>525</v>
      </c>
    </row>
    <row r="227" spans="2:4">
      <c r="B227" s="16">
        <v>95</v>
      </c>
      <c r="D227" s="18" t="s">
        <v>526</v>
      </c>
    </row>
    <row r="228" spans="2:4">
      <c r="B228" s="16">
        <v>96</v>
      </c>
      <c r="D228" s="18" t="s">
        <v>483</v>
      </c>
    </row>
    <row r="229" spans="2:4">
      <c r="B229" s="16">
        <v>97</v>
      </c>
      <c r="D229" s="18" t="s">
        <v>484</v>
      </c>
    </row>
    <row r="230" spans="2:4">
      <c r="B230" s="16">
        <v>98</v>
      </c>
      <c r="D230" s="18" t="s">
        <v>527</v>
      </c>
    </row>
    <row r="231" spans="2:4">
      <c r="B231" s="16">
        <v>99</v>
      </c>
      <c r="D231" s="18" t="s">
        <v>528</v>
      </c>
    </row>
    <row r="232" spans="2:4">
      <c r="B232" s="16">
        <v>100</v>
      </c>
      <c r="D232" s="18" t="s">
        <v>529</v>
      </c>
    </row>
    <row r="233" spans="2:4">
      <c r="B233" s="16">
        <v>101</v>
      </c>
      <c r="D233" s="18" t="s">
        <v>530</v>
      </c>
    </row>
    <row r="234" spans="2:4">
      <c r="B234" s="16">
        <v>102</v>
      </c>
      <c r="D234" s="18" t="s">
        <v>531</v>
      </c>
    </row>
    <row r="235" spans="2:4">
      <c r="B235" s="16">
        <v>103</v>
      </c>
      <c r="D235" s="18" t="s">
        <v>532</v>
      </c>
    </row>
    <row r="236" spans="2:4">
      <c r="B236" s="16">
        <v>104</v>
      </c>
      <c r="D236" s="18" t="s">
        <v>533</v>
      </c>
    </row>
    <row r="237" spans="2:4">
      <c r="B237" s="16">
        <v>105</v>
      </c>
      <c r="D237" s="18" t="s">
        <v>534</v>
      </c>
    </row>
    <row r="238" spans="2:4">
      <c r="B238" s="16">
        <v>106</v>
      </c>
      <c r="D238" s="18" t="s">
        <v>393</v>
      </c>
    </row>
    <row r="239" spans="2:4">
      <c r="B239" s="16">
        <v>107</v>
      </c>
      <c r="D239" s="18" t="s">
        <v>535</v>
      </c>
    </row>
    <row r="240" spans="2:4">
      <c r="B240" s="16">
        <v>108</v>
      </c>
      <c r="D240" s="18" t="s">
        <v>536</v>
      </c>
    </row>
    <row r="241" spans="2:4">
      <c r="B241" s="16">
        <v>109</v>
      </c>
      <c r="D241" s="18" t="s">
        <v>537</v>
      </c>
    </row>
    <row r="242" spans="2:4">
      <c r="B242" s="16">
        <v>110</v>
      </c>
      <c r="D242" s="18" t="s">
        <v>538</v>
      </c>
    </row>
    <row r="243" spans="2:4">
      <c r="B243" s="16">
        <v>111</v>
      </c>
      <c r="D243" s="18" t="s">
        <v>539</v>
      </c>
    </row>
    <row r="244" spans="2:4">
      <c r="B244" s="16">
        <v>112</v>
      </c>
      <c r="D244" s="18" t="s">
        <v>540</v>
      </c>
    </row>
    <row r="245" spans="2:4">
      <c r="B245" s="16">
        <v>113</v>
      </c>
      <c r="D245" s="18" t="s">
        <v>541</v>
      </c>
    </row>
    <row r="246" spans="2:4">
      <c r="B246" s="16">
        <v>114</v>
      </c>
      <c r="D246" s="18" t="s">
        <v>418</v>
      </c>
    </row>
    <row r="247" spans="2:4">
      <c r="B247" s="16">
        <v>115</v>
      </c>
      <c r="D247" s="18" t="s">
        <v>542</v>
      </c>
    </row>
    <row r="248" spans="2:4">
      <c r="B248" s="16">
        <v>116</v>
      </c>
      <c r="D248" s="18" t="s">
        <v>543</v>
      </c>
    </row>
    <row r="249" spans="2:4">
      <c r="B249" s="16">
        <v>117</v>
      </c>
      <c r="D249" s="18" t="s">
        <v>544</v>
      </c>
    </row>
    <row r="250" spans="2:4">
      <c r="B250" s="16">
        <v>118</v>
      </c>
      <c r="D250" s="18" t="s">
        <v>545</v>
      </c>
    </row>
    <row r="251" spans="2:4" ht="30">
      <c r="B251" s="16">
        <v>119</v>
      </c>
      <c r="C251" s="18" t="s">
        <v>546</v>
      </c>
      <c r="D251" s="18" t="s">
        <v>547</v>
      </c>
    </row>
    <row r="252" spans="2:4">
      <c r="B252" s="16">
        <v>120</v>
      </c>
    </row>
    <row r="253" spans="2:4">
      <c r="B253" s="16">
        <v>121</v>
      </c>
    </row>
    <row r="254" spans="2:4">
      <c r="B254" s="16">
        <v>122</v>
      </c>
    </row>
    <row r="255" spans="2:4">
      <c r="B255" s="16">
        <v>123</v>
      </c>
    </row>
    <row r="256" spans="2:4">
      <c r="B256" s="16">
        <v>124</v>
      </c>
    </row>
    <row r="257" spans="2:2">
      <c r="B257" s="16">
        <v>125</v>
      </c>
    </row>
  </sheetData>
  <mergeCells count="5">
    <mergeCell ref="C6:G6"/>
    <mergeCell ref="C2:G2"/>
    <mergeCell ref="C38:G38"/>
    <mergeCell ref="C89:G89"/>
    <mergeCell ref="C130:G130"/>
  </mergeCells>
  <pageMargins left="0.7" right="0.7" top="0.75" bottom="0.75" header="0.3" footer="0.3"/>
  <pageSetup paperSize="9"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1Input">
    <pageSetUpPr fitToPage="1"/>
  </sheetPr>
  <dimension ref="A1:M49"/>
  <sheetViews>
    <sheetView showGridLines="0" showWhiteSpace="0" topLeftCell="B1" zoomScaleNormal="100" zoomScaleSheetLayoutView="115" workbookViewId="0">
      <pane ySplit="1" topLeftCell="A2" activePane="bottomLeft" state="frozen"/>
      <selection pane="bottomLeft" activeCell="I22" sqref="I22:L22"/>
      <selection activeCell="E3" sqref="E3:E4"/>
    </sheetView>
  </sheetViews>
  <sheetFormatPr defaultColWidth="0" defaultRowHeight="12.75" zeroHeight="1"/>
  <cols>
    <col min="1" max="1" width="1.42578125" style="120" customWidth="1"/>
    <col min="2" max="2" width="17.140625" style="120" customWidth="1"/>
    <col min="3" max="5" width="8.5703125" style="120" customWidth="1"/>
    <col min="6" max="6" width="7.140625" style="120" customWidth="1"/>
    <col min="7" max="7" width="5.7109375" style="120" customWidth="1"/>
    <col min="8" max="8" width="17.140625" style="120" customWidth="1"/>
    <col min="9" max="11" width="8.5703125" style="120" customWidth="1"/>
    <col min="12" max="12" width="7.140625" style="120" customWidth="1"/>
    <col min="13" max="13" width="1.42578125" style="120" customWidth="1"/>
    <col min="14" max="16384" width="9.140625" style="120" hidden="1"/>
  </cols>
  <sheetData>
    <row r="1" spans="2:12" s="117" customFormat="1" ht="42" customHeight="1" thickBot="1">
      <c r="B1" s="124"/>
      <c r="C1" s="124"/>
      <c r="D1" s="190" t="s">
        <v>548</v>
      </c>
      <c r="E1" s="190"/>
      <c r="F1" s="190"/>
      <c r="G1" s="190"/>
      <c r="H1" s="190"/>
      <c r="I1" s="190"/>
      <c r="J1" s="108"/>
      <c r="K1" s="190" t="s">
        <v>549</v>
      </c>
      <c r="L1" s="190"/>
    </row>
    <row r="2" spans="2:12" s="117" customFormat="1" ht="4.5" customHeight="1"/>
    <row r="3" spans="2:12" s="117" customFormat="1" ht="15">
      <c r="B3" s="177" t="str" cm="1">
        <f t="array" ref="B3">INDEX(LEN_IN[],1,MATCH(CONDITIONS!$E$3,Len_DB!$C$8:$H$8,0)+1)</f>
        <v>Project informations</v>
      </c>
      <c r="C3" s="177"/>
      <c r="D3" s="177"/>
      <c r="E3" s="177"/>
      <c r="F3" s="177"/>
      <c r="G3" s="177"/>
      <c r="H3" s="177"/>
      <c r="I3" s="177"/>
      <c r="J3" s="177"/>
      <c r="K3" s="177"/>
      <c r="L3" s="177"/>
    </row>
    <row r="4" spans="2:12" s="117" customFormat="1" ht="4.9000000000000004" customHeight="1"/>
    <row r="5" spans="2:12" s="117" customFormat="1" ht="13.15" customHeight="1" thickBot="1">
      <c r="B5" s="122" t="str" cm="1">
        <f t="array" ref="B5">INDEX(LEN_IN[],2,MATCH(CONDITIONS!$E$3,Len_DB!$C$8:$H$8,0)+1)</f>
        <v>Data</v>
      </c>
      <c r="C5" s="192">
        <f ca="1">TODAY()</f>
        <v>46265</v>
      </c>
      <c r="D5" s="192"/>
      <c r="E5" s="123"/>
      <c r="F5" s="123"/>
      <c r="H5" s="122" t="str" cm="1">
        <f t="array" ref="H5">INDEX(LEN_IN[],8,MATCH(CONDITIONS!$E$3,Len_DB!$C$8:$H$8,0)+1)</f>
        <v>Standard</v>
      </c>
      <c r="I5" s="191" t="s">
        <v>550</v>
      </c>
      <c r="J5" s="191"/>
      <c r="K5" s="191"/>
      <c r="L5" s="191"/>
    </row>
    <row r="6" spans="2:12" s="117" customFormat="1" ht="13.5" customHeight="1" thickTop="1" thickBot="1">
      <c r="B6" s="122" t="str" cm="1">
        <f t="array" ref="B6">INDEX(LEN_IN[],3,MATCH(CONDITIONS!$E$3,Len_DB!$C$8:$H$8,0)+1)</f>
        <v>Municipality</v>
      </c>
      <c r="C6" s="181"/>
      <c r="D6" s="182"/>
      <c r="E6" s="182"/>
      <c r="F6" s="183"/>
      <c r="H6" s="122" t="str" cm="1">
        <f t="array" ref="H6">INDEX(LEN_IN[],9,MATCH(CONDITIONS!$E$3,Len_DB!$C$8:$H$8,0)+1)</f>
        <v>Notes</v>
      </c>
      <c r="I6" s="184"/>
      <c r="J6" s="185"/>
      <c r="K6" s="185"/>
      <c r="L6" s="186"/>
    </row>
    <row r="7" spans="2:12" s="117" customFormat="1" ht="13.5" customHeight="1" thickTop="1" thickBot="1">
      <c r="B7" s="122" t="str" cm="1">
        <f t="array" ref="B7">INDEX(LEN_IN[],4,MATCH(CONDITIONS!$E$3,Len_DB!$C$8:$H$8,0)+1)</f>
        <v>Province</v>
      </c>
      <c r="C7" s="181"/>
      <c r="D7" s="182"/>
      <c r="E7" s="182"/>
      <c r="F7" s="183"/>
      <c r="I7" s="187"/>
      <c r="J7" s="188"/>
      <c r="K7" s="188"/>
      <c r="L7" s="189"/>
    </row>
    <row r="8" spans="2:12" s="117" customFormat="1" ht="13.5" customHeight="1" thickTop="1" thickBot="1">
      <c r="B8" s="122" t="str" cm="1">
        <f t="array" ref="B8">INDEX(LEN_IN[],5,MATCH(CONDITIONS!$E$3,Len_DB!$C$8:$H$8,0)+1)</f>
        <v>Project</v>
      </c>
      <c r="C8" s="181"/>
      <c r="D8" s="182"/>
      <c r="E8" s="182"/>
      <c r="F8" s="183"/>
    </row>
    <row r="9" spans="2:12" s="117" customFormat="1" ht="13.15" customHeight="1" thickTop="1" thickBot="1">
      <c r="B9" s="122" t="str" cm="1">
        <f t="array" ref="B9">INDEX(LEN_IN[],6,MATCH(CONDITIONS!$E$3,Len_DB!$C$8:$H$8,0)+1)</f>
        <v>Designer</v>
      </c>
      <c r="C9" s="181"/>
      <c r="D9" s="182"/>
      <c r="E9" s="182"/>
      <c r="F9" s="183"/>
    </row>
    <row r="10" spans="2:12" s="117" customFormat="1" ht="13.5" customHeight="1" thickTop="1" thickBot="1">
      <c r="B10" s="122" t="str" cm="1">
        <f t="array" ref="B10">INDEX(LEN_IN[],7,MATCH(CONDITIONS!$E$3,Len_DB!$C$8:$H$8,0)+1)</f>
        <v>Client</v>
      </c>
      <c r="C10" s="181"/>
      <c r="D10" s="182"/>
      <c r="E10" s="182"/>
      <c r="F10" s="183"/>
    </row>
    <row r="11" spans="2:12" s="117" customFormat="1" ht="9.75" customHeight="1" thickTop="1"/>
    <row r="12" spans="2:12" s="117" customFormat="1" ht="15">
      <c r="B12" s="177" t="str" cm="1">
        <f t="array" ref="B12">INDEX(LEN_IN[],10,MATCH(CONDITIONS!$E$3,Len_DB!$C$8:$H$8,0)+1)</f>
        <v>Design Loads</v>
      </c>
      <c r="C12" s="177"/>
      <c r="D12" s="177"/>
      <c r="E12" s="177"/>
      <c r="F12" s="177"/>
      <c r="G12" s="177"/>
      <c r="H12" s="177"/>
      <c r="I12" s="177"/>
      <c r="J12" s="177"/>
      <c r="K12" s="177"/>
      <c r="L12" s="177"/>
    </row>
    <row r="13" spans="2:12" s="117" customFormat="1" ht="4.9000000000000004" customHeight="1" thickBot="1"/>
    <row r="14" spans="2:12" s="117" customFormat="1" ht="13.15" customHeight="1" thickTop="1" thickBot="1">
      <c r="B14" s="117" t="str" cm="1">
        <f t="array" ref="B14">INDEX(LEN_IN[],11,MATCH(CONDITIONS!$E$3,Len_DB!$C$8:$H$8,0)+1)</f>
        <v>Permanent loads</v>
      </c>
      <c r="C14" s="179" t="s">
        <v>551</v>
      </c>
      <c r="D14" s="180"/>
      <c r="E14" s="121">
        <v>3.15</v>
      </c>
      <c r="F14" s="117" t="s">
        <v>552</v>
      </c>
      <c r="H14" s="117" t="str" cm="1">
        <f t="array" ref="H14">INDEX(LEN_IN[],14,MATCH(CONDITIONS!$E$3,Len_DB!$C$8:$H$8,0)+1)</f>
        <v>Load duration</v>
      </c>
      <c r="I14" s="191" t="s">
        <v>221</v>
      </c>
      <c r="J14" s="191"/>
      <c r="K14" s="191"/>
      <c r="L14" s="191"/>
    </row>
    <row r="15" spans="2:12" s="117" customFormat="1" ht="13.15" customHeight="1" thickTop="1" thickBot="1">
      <c r="B15" s="117" t="str" cm="1">
        <f t="array" ref="B15">INDEX(LEN_IN[],12,MATCH(CONDITIONS!$E$3,Len_DB!$C$8:$H$8,0)+1)</f>
        <v>Accidental loads</v>
      </c>
      <c r="C15" s="179" t="s">
        <v>553</v>
      </c>
      <c r="D15" s="180"/>
      <c r="E15" s="121">
        <v>2</v>
      </c>
      <c r="F15" s="117" t="s">
        <v>552</v>
      </c>
      <c r="H15" s="117" t="str" cm="1">
        <f t="array" ref="H15">INDEX(LEN_IN[],20,MATCH(CONDITIONS!$E$3,Len_DB!$C$8:$H$8,0)+1)</f>
        <v>Service Class</v>
      </c>
      <c r="I15" s="191">
        <v>1</v>
      </c>
      <c r="J15" s="191"/>
      <c r="K15" s="191"/>
      <c r="L15" s="191"/>
    </row>
    <row r="16" spans="2:12" s="117" customFormat="1" ht="13.15" customHeight="1" thickTop="1" thickBot="1">
      <c r="B16" s="117" t="str" cm="1">
        <f t="array" ref="B16">INDEX(LEN_IN[],13,MATCH(CONDITIONS!$E$3,Len_DB!$C$8:$H$8,0)+1)</f>
        <v>Partial factor</v>
      </c>
      <c r="C16" s="179" t="s">
        <v>554</v>
      </c>
      <c r="D16" s="180"/>
      <c r="E16" s="121">
        <v>0.3</v>
      </c>
      <c r="H16" s="120"/>
      <c r="K16" s="120"/>
      <c r="L16" s="120"/>
    </row>
    <row r="17" spans="2:12" s="117" customFormat="1" ht="9.75" customHeight="1" thickTop="1"/>
    <row r="18" spans="2:12" s="117" customFormat="1" ht="15">
      <c r="B18" s="177" t="str" cm="1">
        <f t="array" ref="B18">INDEX(LEN_IN[],21,MATCH(CONDITIONS!$E$3,Len_DB!$C$8:$H$8,0)+1)</f>
        <v>Timber properties</v>
      </c>
      <c r="C18" s="177"/>
      <c r="D18" s="177"/>
      <c r="E18" s="177"/>
      <c r="F18" s="177"/>
      <c r="G18" s="177"/>
      <c r="H18" s="177"/>
      <c r="I18" s="177"/>
      <c r="J18" s="177"/>
      <c r="K18" s="177"/>
      <c r="L18" s="177"/>
    </row>
    <row r="19" spans="2:12" s="117" customFormat="1" ht="3" customHeight="1"/>
    <row r="20" spans="2:12" s="117" customFormat="1">
      <c r="B20" s="178" t="str" cm="1">
        <f t="array" ref="B20">INDEX(LEN_IN[],22,MATCH(CONDITIONS!$E$3,Len_DB!$C$8:$H$8,0)+1)</f>
        <v>(1) Slab</v>
      </c>
      <c r="C20" s="178"/>
      <c r="D20" s="178"/>
      <c r="E20" s="178"/>
      <c r="F20" s="178"/>
      <c r="H20" s="178" t="str" cm="1">
        <f t="array" ref="H20">INDEX(LEN_IN[],24,MATCH(CONDITIONS!$E$3,Len_DB!$C$8:$H$8,0)+1)</f>
        <v>(2) Rib beam</v>
      </c>
      <c r="I20" s="178"/>
      <c r="J20" s="178"/>
      <c r="K20" s="178"/>
      <c r="L20" s="178"/>
    </row>
    <row r="21" spans="2:12" s="117" customFormat="1" ht="4.9000000000000004" customHeight="1"/>
    <row r="22" spans="2:12" s="117" customFormat="1">
      <c r="B22" s="117" t="str" cm="1">
        <f t="array" ref="B22">INDEX(LEN_IN[],23,MATCH(CONDITIONS!$E$3,Len_DB!$C$8:$H$8,0)+1)</f>
        <v>Wood type</v>
      </c>
      <c r="C22" s="191" t="s">
        <v>555</v>
      </c>
      <c r="D22" s="191"/>
      <c r="E22" s="191"/>
      <c r="F22" s="191"/>
      <c r="H22" s="117" t="str" cm="1">
        <f t="array" ref="H22">INDEX(LEN_IN[],25,MATCH(CONDITIONS!$E$3,Len_DB!$C$8:$H$8,0)+1)</f>
        <v>Wood type</v>
      </c>
      <c r="I22" s="191" t="s">
        <v>556</v>
      </c>
      <c r="J22" s="191"/>
      <c r="K22" s="191"/>
      <c r="L22" s="191"/>
    </row>
    <row r="23" spans="2:12" s="117" customFormat="1" ht="9.75" customHeight="1"/>
    <row r="24" spans="2:12" s="117" customFormat="1" ht="15">
      <c r="B24" s="177" t="str" cm="1">
        <f t="array" ref="B24">INDEX(LEN_IN[],26,MATCH(CONDITIONS!$E$3,Len_DB!$C$8:$H$8,0)+1)</f>
        <v>Geometry</v>
      </c>
      <c r="C24" s="177"/>
      <c r="D24" s="177"/>
      <c r="E24" s="177"/>
      <c r="F24" s="177"/>
      <c r="G24" s="177"/>
      <c r="H24" s="177"/>
      <c r="I24" s="177"/>
      <c r="J24" s="177"/>
      <c r="K24" s="177"/>
      <c r="L24" s="177"/>
    </row>
    <row r="25" spans="2:12" s="117" customFormat="1" ht="3" customHeight="1"/>
    <row r="26" spans="2:12" s="117" customFormat="1">
      <c r="B26" s="178" t="str" cm="1">
        <f t="array" ref="B26">INDEX(LEN_IN[],27,MATCH(CONDITIONS!$E$3,Len_DB!$C$8:$H$8,0)+1)</f>
        <v>(1) Slab</v>
      </c>
      <c r="C26" s="178"/>
      <c r="D26" s="178"/>
      <c r="E26" s="178"/>
      <c r="F26" s="178"/>
      <c r="H26" s="178" t="str" cm="1">
        <f t="array" ref="H26">INDEX(LEN_IN[],32,MATCH(CONDITIONS!$E$3,Len_DB!$C$8:$H$8,0)+1)</f>
        <v>(2) Rib beam</v>
      </c>
      <c r="I26" s="178"/>
      <c r="J26" s="178"/>
      <c r="K26" s="178"/>
      <c r="L26" s="178"/>
    </row>
    <row r="27" spans="2:12" s="117" customFormat="1" ht="7.5" customHeight="1"/>
    <row r="28" spans="2:12" s="117" customFormat="1" ht="13.9" customHeight="1" thickBot="1">
      <c r="B28" s="117" t="str" cm="1">
        <f t="array" ref="B28">INDEX(LEN_IN[],28,MATCH(CONDITIONS!$E$3,Len_DB!$C$8:$H$8,0)+1)</f>
        <v>CLT type</v>
      </c>
      <c r="C28" s="191" t="s">
        <v>557</v>
      </c>
      <c r="D28" s="191"/>
      <c r="E28" s="191"/>
      <c r="F28" s="191"/>
      <c r="H28" s="117" t="str" cm="1">
        <f t="array" ref="H28">INDEX(LEN_IN[],33,MATCH(CONDITIONS!$E$3,Len_DB!$C$8:$H$8,0)+1)</f>
        <v>Minimum width</v>
      </c>
      <c r="I28" s="179" t="s">
        <v>558</v>
      </c>
      <c r="J28" s="180"/>
      <c r="K28" s="119">
        <f>MAX(IF($K$30&lt;50+MAX(E46-25,E45)*2,"trave troppo stretta",_xlfn.CEILING.MATH(E43*50+2*MAX(E46-25,E45))),IF($K$30&lt;50+MAX(K46-25,K45)*2,"trave troppo stretta",_xlfn.CEILING.MATH(K43*50+2*MAX(K46-25,K45))))</f>
        <v>154</v>
      </c>
      <c r="L28" s="117" t="s">
        <v>559</v>
      </c>
    </row>
    <row r="29" spans="2:12" s="117" customFormat="1" ht="13.15" customHeight="1" thickTop="1" thickBot="1">
      <c r="B29" s="117" t="str" cm="1">
        <f t="array" ref="B29">INDEX(LEN_IN[],29,MATCH(CONDITIONS!$E$3,Len_DB!$C$8:$H$8,0)+1)</f>
        <v>Height</v>
      </c>
      <c r="C29" s="179" t="s">
        <v>560</v>
      </c>
      <c r="D29" s="180"/>
      <c r="E29" s="119">
        <f>INDEX(CLT[],MATCH(Input!$C$28,CLT[Code],0),2)</f>
        <v>80</v>
      </c>
      <c r="F29" s="117" t="s">
        <v>559</v>
      </c>
      <c r="H29" s="117" t="str" cm="1">
        <f t="array" ref="H29">INDEX(LEN_IN[],34,MATCH(CONDITIONS!$E$3,Len_DB!$C$8:$H$8,0)+1)</f>
        <v>Height</v>
      </c>
      <c r="I29" s="179" t="s">
        <v>561</v>
      </c>
      <c r="J29" s="180"/>
      <c r="K29" s="121">
        <v>320</v>
      </c>
      <c r="L29" s="117" t="s">
        <v>559</v>
      </c>
    </row>
    <row r="30" spans="2:12" s="117" customFormat="1" ht="13.15" customHeight="1" thickTop="1" thickBot="1">
      <c r="B30" s="117" t="str" cm="1">
        <f t="array" ref="B30">INDEX(LEN_IN[],30,MATCH(CONDITIONS!$E$3,Len_DB!$C$8:$H$8,0)+1)</f>
        <v>Base</v>
      </c>
      <c r="C30" s="179" t="s">
        <v>562</v>
      </c>
      <c r="D30" s="180"/>
      <c r="E30" s="121">
        <v>600</v>
      </c>
      <c r="F30" s="117" t="s">
        <v>559</v>
      </c>
      <c r="H30" s="117" t="str" cm="1">
        <f t="array" ref="H30">INDEX(LEN_IN[],35,MATCH(CONDITIONS!$E$3,Len_DB!$C$8:$H$8,0)+1)</f>
        <v>Base</v>
      </c>
      <c r="I30" s="179" t="s">
        <v>563</v>
      </c>
      <c r="J30" s="180"/>
      <c r="K30" s="121">
        <v>160</v>
      </c>
      <c r="L30" s="117" t="s">
        <v>559</v>
      </c>
    </row>
    <row r="31" spans="2:12" s="117" customFormat="1" ht="26.25" thickTop="1">
      <c r="B31" s="118" t="str" cm="1">
        <f t="array" ref="B31">INDEX(LEN_IN[],31,MATCH(CONDITIONS!$E$3,Len_DB!$C$8:$H$8,0)+1)</f>
        <v>Rolling shear resistance</v>
      </c>
      <c r="C31" s="179" t="s">
        <v>564</v>
      </c>
      <c r="D31" s="180"/>
      <c r="E31" s="119">
        <v>1.2</v>
      </c>
      <c r="F31" s="117" t="s">
        <v>565</v>
      </c>
    </row>
    <row r="32" spans="2:12" s="117" customFormat="1" ht="11.25" customHeight="1" thickBot="1"/>
    <row r="33" spans="2:12" s="117" customFormat="1" ht="13.15" customHeight="1" thickTop="1" thickBot="1">
      <c r="B33" s="117" t="str" cm="1">
        <f t="array" ref="B33">INDEX(LEN_IN[],36,MATCH(CONDITIONS!$E$3,Len_DB!$C$8:$H$8,0)+1)</f>
        <v>Beam span</v>
      </c>
      <c r="C33" s="179" t="s">
        <v>566</v>
      </c>
      <c r="D33" s="180"/>
      <c r="E33" s="121">
        <v>6000</v>
      </c>
      <c r="F33" s="117" t="s">
        <v>559</v>
      </c>
    </row>
    <row r="34" spans="2:12" s="117" customFormat="1" ht="3.75" customHeight="1" thickTop="1"/>
    <row r="35" spans="2:12" s="117" customFormat="1" ht="150" customHeight="1">
      <c r="B35" s="176"/>
      <c r="C35" s="176"/>
      <c r="D35" s="176"/>
      <c r="E35" s="176"/>
      <c r="F35" s="176"/>
      <c r="G35" s="176"/>
      <c r="H35" s="176"/>
      <c r="I35" s="176"/>
      <c r="J35" s="176"/>
      <c r="K35" s="176"/>
      <c r="L35" s="176"/>
    </row>
    <row r="36" spans="2:12" s="117" customFormat="1" ht="3.75" customHeight="1"/>
    <row r="37" spans="2:12" s="117" customFormat="1" ht="15">
      <c r="B37" s="177" t="str" cm="1">
        <f t="array" ref="B37">INDEX(LEN_IN[],37,MATCH(CONDITIONS!$E$3,Len_DB!$C$8:$H$8,0)+1)</f>
        <v>Connection system configuration</v>
      </c>
      <c r="C37" s="177"/>
      <c r="D37" s="177"/>
      <c r="E37" s="177"/>
      <c r="F37" s="177"/>
      <c r="G37" s="177"/>
      <c r="H37" s="177"/>
      <c r="I37" s="177"/>
      <c r="J37" s="177"/>
      <c r="K37" s="177"/>
      <c r="L37" s="177"/>
    </row>
    <row r="38" spans="2:12" s="117" customFormat="1" ht="3" customHeight="1"/>
    <row r="39" spans="2:12" s="117" customFormat="1">
      <c r="B39" s="178" t="str" cm="1">
        <f t="array" ref="B39">INDEX(LEN_IN[],38,MATCH(CONDITIONS!$E$3,Len_DB!$C$8:$H$8,0)+1)</f>
        <v>At Support</v>
      </c>
      <c r="C39" s="178"/>
      <c r="D39" s="178"/>
      <c r="E39" s="178"/>
      <c r="F39" s="178"/>
      <c r="H39" s="178" t="str" cm="1">
        <f t="array" ref="H39">INDEX(LEN_IN[],43,MATCH(CONDITIONS!$E$3,Len_DB!$C$8:$H$8,0)+1)</f>
        <v>At mid span</v>
      </c>
      <c r="I39" s="178"/>
      <c r="J39" s="178"/>
      <c r="K39" s="178"/>
      <c r="L39" s="178"/>
    </row>
    <row r="40" spans="2:12" s="117" customFormat="1" ht="4.9000000000000004" customHeight="1"/>
    <row r="41" spans="2:12" s="117" customFormat="1" ht="26.45" customHeight="1">
      <c r="B41" s="118" t="str" cm="1">
        <f t="array" ref="B41">INDEX(LEN_IN[],39,MATCH(CONDITIONS!$E$3,Len_DB!$C$8:$H$8,0)+1)</f>
        <v>SHARP METAL type</v>
      </c>
      <c r="C41" s="194" t="s">
        <v>567</v>
      </c>
      <c r="D41" s="194"/>
      <c r="E41" s="194"/>
      <c r="F41" s="194"/>
      <c r="H41" s="118" t="str" cm="1">
        <f t="array" ref="H41">INDEX(LEN_IN[],44,MATCH(CONDITIONS!$E$3,Len_DB!$C$8:$H$8,0)+1)</f>
        <v>SHARP METAL type</v>
      </c>
      <c r="I41" s="194" t="s">
        <v>567</v>
      </c>
      <c r="J41" s="194"/>
      <c r="K41" s="194"/>
      <c r="L41" s="194"/>
    </row>
    <row r="42" spans="2:12" s="117" customFormat="1" ht="13.15" customHeight="1">
      <c r="B42" s="117" t="str" cm="1">
        <f t="array" ref="B42">INDEX(LEN_IN[],40,MATCH(CONDITIONS!$E$3,Len_DB!$C$8:$H$8,0)+1)</f>
        <v>Influence lenght</v>
      </c>
      <c r="C42" s="179" t="s">
        <v>568</v>
      </c>
      <c r="D42" s="179"/>
      <c r="E42" s="119">
        <f>$E$33/4</f>
        <v>1500</v>
      </c>
      <c r="F42" s="117" t="s">
        <v>559</v>
      </c>
      <c r="H42" s="117" t="str" cm="1">
        <f t="array" ref="H42">INDEX(LEN_IN[],45,MATCH(CONDITIONS!$E$3,Len_DB!$C$8:$H$8,0)+1)</f>
        <v>Influence lenght</v>
      </c>
      <c r="I42" s="179" t="s">
        <v>569</v>
      </c>
      <c r="J42" s="179"/>
      <c r="K42" s="119">
        <f>$E$33/2</f>
        <v>3000</v>
      </c>
      <c r="L42" s="117" t="s">
        <v>559</v>
      </c>
    </row>
    <row r="43" spans="2:12" s="117" customFormat="1" ht="25.5">
      <c r="B43" s="118" t="str" cm="1">
        <f t="array" ref="B43">INDEX(LEN_IN[],41,MATCH(CONDITIONS!$E$3,Len_DB!$C$8:$H$8,0)+1)</f>
        <v>Number of SHARP METAL</v>
      </c>
      <c r="E43" s="193">
        <v>2</v>
      </c>
      <c r="F43" s="193"/>
      <c r="H43" s="118" t="str" cm="1">
        <f t="array" ref="H43">INDEX(LEN_IN[],46,MATCH(CONDITIONS!$E$3,Len_DB!$C$8:$H$8,0)+1)</f>
        <v>Number of SHARP METAL</v>
      </c>
      <c r="K43" s="193">
        <v>1</v>
      </c>
      <c r="L43" s="193"/>
    </row>
    <row r="44" spans="2:12" s="117" customFormat="1" ht="14.25" customHeight="1">
      <c r="B44" s="117" t="str" cm="1">
        <f t="array" ref="B44">INDEX(LEN_IN[],42,MATCH(CONDITIONS!$E$3,Len_DB!$C$8:$H$8,0)+1)</f>
        <v>TBS MAX diameter</v>
      </c>
      <c r="C44" s="179" t="s">
        <v>570</v>
      </c>
      <c r="D44" s="179"/>
      <c r="E44" s="119">
        <v>8</v>
      </c>
      <c r="F44" s="117" t="s">
        <v>559</v>
      </c>
      <c r="H44" s="117" t="str" cm="1">
        <f t="array" ref="H44">INDEX(LEN_IN[],47,MATCH(CONDITIONS!$E$3,Len_DB!$C$8:$H$8,0)+1)</f>
        <v>TBS MAX diameter</v>
      </c>
      <c r="I44" s="179" t="s">
        <v>570</v>
      </c>
      <c r="J44" s="179"/>
      <c r="K44" s="119">
        <v>8</v>
      </c>
      <c r="L44" s="117" t="s">
        <v>559</v>
      </c>
    </row>
    <row r="45" spans="2:12" s="117" customFormat="1" ht="13.15" customHeight="1">
      <c r="B45" s="117" t="s">
        <v>571</v>
      </c>
      <c r="E45" s="119">
        <f>_xlfn.CEILING.MATH(IF($K$30&lt;=150,25,$K$30/6),1)</f>
        <v>27</v>
      </c>
      <c r="F45" s="117" t="s">
        <v>559</v>
      </c>
      <c r="H45" s="117" t="s">
        <v>571</v>
      </c>
      <c r="K45" s="119">
        <f>_xlfn.CEILING.MATH(IF($K$30&lt;=150,25,$K$30/6),1)</f>
        <v>27</v>
      </c>
      <c r="L45" s="117" t="s">
        <v>559</v>
      </c>
    </row>
    <row r="46" spans="2:12" s="117" customFormat="1" ht="13.5" customHeight="1">
      <c r="B46" s="120" t="s">
        <v>572</v>
      </c>
      <c r="C46" s="179" t="s">
        <v>573</v>
      </c>
      <c r="D46" s="180"/>
      <c r="E46" s="119">
        <f>5*E44</f>
        <v>40</v>
      </c>
      <c r="F46" s="117" t="s">
        <v>559</v>
      </c>
      <c r="H46" s="120" t="s">
        <v>572</v>
      </c>
      <c r="I46" s="179" t="s">
        <v>573</v>
      </c>
      <c r="J46" s="180"/>
      <c r="K46" s="119">
        <f>5*K44</f>
        <v>40</v>
      </c>
      <c r="L46" s="117" t="s">
        <v>559</v>
      </c>
    </row>
    <row r="47" spans="2:12" s="117" customFormat="1" ht="4.9000000000000004" customHeight="1"/>
    <row r="48" spans="2:12" s="117" customFormat="1" ht="120" customHeight="1">
      <c r="B48" s="176"/>
      <c r="C48" s="176"/>
      <c r="D48" s="176"/>
      <c r="E48" s="176"/>
      <c r="F48" s="176"/>
      <c r="H48" s="176"/>
      <c r="I48" s="176"/>
      <c r="J48" s="176"/>
      <c r="K48" s="176"/>
      <c r="L48" s="176"/>
    </row>
    <row r="49" s="117" customFormat="1" ht="6.75" customHeight="1"/>
  </sheetData>
  <sheetProtection algorithmName="SHA-512" hashValue="Jx+kt+MYlPj2Pfqme8vRhBkGxFXreIk81isNWyG1Q8lNj1DoAc2W2ZXXRMvwvhb+XG8fXFPonD0mmk1i78k1wA==" saltValue="J+5GKNUcdeaeRDPMXMypnQ==" spinCount="100000" sheet="1" objects="1" scenarios="1" formatColumns="0" formatRows="0" selectLockedCells="1"/>
  <mergeCells count="49">
    <mergeCell ref="C14:D14"/>
    <mergeCell ref="C15:D15"/>
    <mergeCell ref="C16:D16"/>
    <mergeCell ref="C29:D29"/>
    <mergeCell ref="C31:D31"/>
    <mergeCell ref="C30:D30"/>
    <mergeCell ref="I15:L15"/>
    <mergeCell ref="I14:L14"/>
    <mergeCell ref="E43:F43"/>
    <mergeCell ref="K43:L43"/>
    <mergeCell ref="B37:L37"/>
    <mergeCell ref="B39:F39"/>
    <mergeCell ref="H39:L39"/>
    <mergeCell ref="C41:F41"/>
    <mergeCell ref="I41:L41"/>
    <mergeCell ref="B24:L24"/>
    <mergeCell ref="C28:F28"/>
    <mergeCell ref="B26:F26"/>
    <mergeCell ref="H26:L26"/>
    <mergeCell ref="B35:L35"/>
    <mergeCell ref="C22:F22"/>
    <mergeCell ref="I22:L22"/>
    <mergeCell ref="D1:I1"/>
    <mergeCell ref="K1:L1"/>
    <mergeCell ref="B3:L3"/>
    <mergeCell ref="I5:L5"/>
    <mergeCell ref="C5:D5"/>
    <mergeCell ref="C8:F8"/>
    <mergeCell ref="C10:F10"/>
    <mergeCell ref="B12:L12"/>
    <mergeCell ref="C9:F9"/>
    <mergeCell ref="C6:F6"/>
    <mergeCell ref="C7:F7"/>
    <mergeCell ref="I6:L7"/>
    <mergeCell ref="B48:F48"/>
    <mergeCell ref="H48:L48"/>
    <mergeCell ref="B18:L18"/>
    <mergeCell ref="B20:F20"/>
    <mergeCell ref="H20:L20"/>
    <mergeCell ref="C33:D33"/>
    <mergeCell ref="I28:J28"/>
    <mergeCell ref="I29:J29"/>
    <mergeCell ref="I30:J30"/>
    <mergeCell ref="I42:J42"/>
    <mergeCell ref="C42:D42"/>
    <mergeCell ref="C44:D44"/>
    <mergeCell ref="C46:D46"/>
    <mergeCell ref="I46:J46"/>
    <mergeCell ref="I44:J44"/>
  </mergeCells>
  <phoneticPr fontId="48" type="noConversion"/>
  <conditionalFormatting sqref="E29 E31">
    <cfRule type="cellIs" dxfId="164" priority="25" stopIfTrue="1" operator="equal">
      <formula>"OK!!"</formula>
    </cfRule>
    <cfRule type="cellIs" dxfId="163" priority="26" stopIfTrue="1" operator="equal">
      <formula>"NO!!"</formula>
    </cfRule>
  </conditionalFormatting>
  <conditionalFormatting sqref="E42">
    <cfRule type="cellIs" dxfId="162" priority="13" stopIfTrue="1" operator="equal">
      <formula>"OK!!"</formula>
    </cfRule>
    <cfRule type="cellIs" dxfId="161" priority="14" stopIfTrue="1" operator="equal">
      <formula>"NO!!"</formula>
    </cfRule>
  </conditionalFormatting>
  <conditionalFormatting sqref="K42">
    <cfRule type="cellIs" dxfId="160" priority="11" stopIfTrue="1" operator="equal">
      <formula>"OK!!"</formula>
    </cfRule>
    <cfRule type="cellIs" dxfId="159" priority="12" stopIfTrue="1" operator="equal">
      <formula>"NO!!"</formula>
    </cfRule>
  </conditionalFormatting>
  <conditionalFormatting sqref="E44">
    <cfRule type="cellIs" dxfId="158" priority="9" stopIfTrue="1" operator="equal">
      <formula>"OK!!"</formula>
    </cfRule>
    <cfRule type="cellIs" dxfId="157" priority="10" stopIfTrue="1" operator="equal">
      <formula>"NO!!"</formula>
    </cfRule>
  </conditionalFormatting>
  <conditionalFormatting sqref="K44">
    <cfRule type="cellIs" dxfId="156" priority="7" stopIfTrue="1" operator="equal">
      <formula>"OK!!"</formula>
    </cfRule>
    <cfRule type="cellIs" dxfId="155" priority="8" stopIfTrue="1" operator="equal">
      <formula>"NO!!"</formula>
    </cfRule>
  </conditionalFormatting>
  <conditionalFormatting sqref="E46">
    <cfRule type="cellIs" dxfId="154" priority="5" stopIfTrue="1" operator="equal">
      <formula>"OK!!"</formula>
    </cfRule>
    <cfRule type="cellIs" dxfId="153" priority="6" stopIfTrue="1" operator="equal">
      <formula>"NO!!"</formula>
    </cfRule>
  </conditionalFormatting>
  <conditionalFormatting sqref="K46">
    <cfRule type="cellIs" dxfId="152" priority="3" stopIfTrue="1" operator="equal">
      <formula>"OK!!"</formula>
    </cfRule>
    <cfRule type="cellIs" dxfId="151" priority="4" stopIfTrue="1" operator="equal">
      <formula>"NO!!"</formula>
    </cfRule>
  </conditionalFormatting>
  <dataValidations count="4">
    <dataValidation type="list" allowBlank="1" showInputMessage="1" showErrorMessage="1" sqref="I15" xr:uid="{8584C594-D70B-4FC5-9B91-6EDA74BABA3C}">
      <formula1>"1,2,3"</formula1>
    </dataValidation>
    <dataValidation type="list" allowBlank="1" showInputMessage="1" showErrorMessage="1" sqref="E43:F43 K43:L43" xr:uid="{B93D31B0-72F1-4685-9CEC-EEE43E14619B}">
      <formula1>"1,2,3,4,5,6,7,8,9,10"</formula1>
    </dataValidation>
    <dataValidation type="list" allowBlank="1" showInputMessage="1" showErrorMessage="1" sqref="C28:F28" xr:uid="{DCA2E95B-EEF2-4472-A383-4B178E1EBD86}">
      <formula1>INDIRECT("CLT[Code]")</formula1>
    </dataValidation>
    <dataValidation type="list" allowBlank="1" showInputMessage="1" showErrorMessage="1" sqref="I22:L22 C22:F22" xr:uid="{5F20B91B-F5A6-4ED1-A361-284D33D00C97}">
      <formula1>INDIRECT("TimberType[Classe]")</formula1>
    </dataValidation>
  </dataValidations>
  <pageMargins left="0" right="0" top="0" bottom="0" header="0" footer="0"/>
  <pageSetup paperSize="9" scale="97" fitToHeight="0" orientation="portrait" r:id="rId1"/>
  <headerFooter>
    <oddHeader>&amp;L&amp;G</oddHeader>
  </headerFooter>
  <ignoredErrors>
    <ignoredError sqref="C5:D5" unlockedFormula="1"/>
  </ignoredErrors>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F9D9AE51-CF81-4CEA-AF16-95BFC87BC1EA}">
          <x14:formula1>
            <xm:f>RefText_DB!$B$4:$B$5</xm:f>
          </x14:formula1>
          <xm:sqref>I5:L5</xm:sqref>
        </x14:dataValidation>
        <x14:dataValidation type="list" allowBlank="1" showInputMessage="1" showErrorMessage="1" xr:uid="{9C81497B-C5BB-49DC-8634-BE8B2806C914}">
          <x14:formula1>
            <xm:f>Dati!$A$78:$A$82</xm:f>
          </x14:formula1>
          <xm:sqref>I14</xm:sqref>
        </x14:dataValidation>
        <x14:dataValidation type="list" allowBlank="1" showInputMessage="1" showErrorMessage="1" xr:uid="{8DB0D517-2219-4824-BC5B-3616A749C7C8}">
          <x14:formula1>
            <xm:f>RefText_DB!$B$9:$B$11</xm:f>
          </x14:formula1>
          <xm:sqref>I41:L41 C41:F41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0FC6-FA1A-4BA9-B1CC-F42E7C3D45C2}">
  <sheetPr codeName="shRefTextDB">
    <tabColor theme="6" tint="0.59999389629810485"/>
  </sheetPr>
  <dimension ref="B3:B17"/>
  <sheetViews>
    <sheetView workbookViewId="0">
      <selection activeCell="B21" sqref="B21"/>
    </sheetView>
  </sheetViews>
  <sheetFormatPr defaultRowHeight="15"/>
  <cols>
    <col min="2" max="2" width="43.28515625" customWidth="1"/>
  </cols>
  <sheetData>
    <row r="3" spans="2:2" ht="3.75" customHeight="1"/>
    <row r="4" spans="2:2">
      <c r="B4" t="s">
        <v>550</v>
      </c>
    </row>
    <row r="5" spans="2:2">
      <c r="B5" t="s">
        <v>574</v>
      </c>
    </row>
    <row r="6" spans="2:2" ht="7.5" customHeight="1"/>
    <row r="8" spans="2:2" ht="3.75" customHeight="1"/>
    <row r="9" spans="2:2">
      <c r="B9" t="s">
        <v>575</v>
      </c>
    </row>
    <row r="10" spans="2:2">
      <c r="B10" t="s">
        <v>567</v>
      </c>
    </row>
    <row r="11" spans="2:2">
      <c r="B11" t="s">
        <v>576</v>
      </c>
    </row>
    <row r="12" spans="2:2" ht="7.5" customHeight="1"/>
    <row r="14" spans="2:2" ht="3.75" customHeight="1"/>
    <row r="15" spans="2:2">
      <c r="B15" t="str">
        <f>IF(K60&lt;8,INDEX(LEN_OUT[],35,MATCH(CONDITIONS!$E$3,LEN_OUT[#Headers],0)),"")</f>
        <v>Vibrations not perceptible</v>
      </c>
    </row>
    <row r="16" spans="2:2">
      <c r="B16" t="str">
        <f>IF(K61&lt;8,INDEX(LEN_OUT[],36,MATCH(CONDITIONS!$E$3,LEN_OUT[#Headers],0)),"")</f>
        <v>Perceptible vibrations not annoying</v>
      </c>
    </row>
    <row r="17" spans="2:2">
      <c r="B17" t="str">
        <f>IF(K62&lt;8,INDEX(LEN_OUT[],37,MATCH(CONDITIONS!$E$3,LEN_OUT[#Headers],0)),"")</f>
        <v>Unacceptable vibrations</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E9DB0-DBC1-41BC-AAF4-C65922BA3CA7}">
  <sheetPr codeName="sh2Output">
    <pageSetUpPr fitToPage="1"/>
  </sheetPr>
  <dimension ref="A1:XDI145"/>
  <sheetViews>
    <sheetView showGridLines="0" showRowColHeaders="0" showWhiteSpace="0" zoomScaleNormal="100" zoomScaleSheetLayoutView="100" workbookViewId="0">
      <pane ySplit="1" topLeftCell="A2" activePane="bottomLeft" state="frozen"/>
      <selection pane="bottomLeft" activeCell="E53" sqref="E53"/>
      <selection activeCell="E3" sqref="E3:E4"/>
    </sheetView>
  </sheetViews>
  <sheetFormatPr defaultColWidth="0" defaultRowHeight="15" customHeight="1" zeroHeight="1"/>
  <cols>
    <col min="1" max="1" width="1.42578125" style="20" customWidth="1"/>
    <col min="2" max="2" width="17.140625" style="20" customWidth="1"/>
    <col min="3" max="4" width="8.5703125" style="20" customWidth="1"/>
    <col min="5" max="5" width="14.7109375" style="20" customWidth="1"/>
    <col min="6" max="6" width="7.140625" style="20" customWidth="1"/>
    <col min="7" max="7" width="5.7109375" style="20" customWidth="1"/>
    <col min="8" max="8" width="17.140625" style="20" customWidth="1"/>
    <col min="9" max="11" width="8.5703125" style="20" customWidth="1"/>
    <col min="12" max="12" width="7.140625" style="20" customWidth="1"/>
    <col min="13" max="13" width="1.42578125" style="20" customWidth="1"/>
    <col min="45" max="16337" width="0" style="20" hidden="1"/>
    <col min="16338" max="16384" width="9.140625" style="20" hidden="1"/>
  </cols>
  <sheetData>
    <row r="1" spans="2:72" ht="45" customHeight="1" thickBot="1">
      <c r="B1" s="107"/>
      <c r="C1" s="107"/>
      <c r="D1" s="190" t="str">
        <f>Input!D1</f>
        <v>SHARP_METAL_CALCULATOR_v1.2</v>
      </c>
      <c r="E1" s="190"/>
      <c r="F1" s="190"/>
      <c r="G1" s="190"/>
      <c r="H1" s="190"/>
      <c r="I1" s="190"/>
      <c r="J1" s="108"/>
      <c r="K1" s="190" t="s">
        <v>549</v>
      </c>
      <c r="L1" s="190"/>
    </row>
    <row r="2" spans="2:72" ht="4.5" customHeight="1">
      <c r="AS2"/>
      <c r="AT2"/>
      <c r="AU2"/>
      <c r="AV2"/>
      <c r="AW2"/>
      <c r="AX2"/>
      <c r="AY2"/>
      <c r="AZ2"/>
      <c r="BA2"/>
      <c r="BB2"/>
      <c r="BC2"/>
      <c r="BD2"/>
      <c r="BE2"/>
      <c r="BF2"/>
      <c r="BG2"/>
      <c r="BH2"/>
      <c r="BI2"/>
      <c r="BJ2"/>
      <c r="BK2"/>
      <c r="BL2"/>
      <c r="BM2"/>
      <c r="BN2"/>
      <c r="BO2"/>
      <c r="BP2"/>
      <c r="BQ2"/>
      <c r="BR2"/>
      <c r="BS2"/>
      <c r="BT2"/>
    </row>
    <row r="3" spans="2:72" ht="18.75" customHeight="1">
      <c r="B3" s="177" t="str">
        <f>Input!B3</f>
        <v>Project informations</v>
      </c>
      <c r="C3" s="177"/>
      <c r="D3" s="177"/>
      <c r="E3" s="177"/>
      <c r="F3" s="177"/>
      <c r="G3" s="177"/>
      <c r="H3" s="177"/>
      <c r="I3" s="177"/>
      <c r="J3" s="177"/>
      <c r="K3" s="177"/>
      <c r="L3" s="177"/>
      <c r="AS3"/>
      <c r="AT3"/>
      <c r="AU3"/>
      <c r="AV3"/>
      <c r="AW3"/>
      <c r="AX3"/>
      <c r="AY3"/>
      <c r="AZ3"/>
      <c r="BA3"/>
      <c r="BB3"/>
      <c r="BC3"/>
      <c r="BD3"/>
      <c r="BE3"/>
      <c r="BF3"/>
      <c r="BG3"/>
      <c r="BH3"/>
      <c r="BI3"/>
      <c r="BJ3"/>
      <c r="BK3"/>
      <c r="BL3"/>
      <c r="BM3"/>
      <c r="BN3"/>
      <c r="BO3"/>
      <c r="BP3"/>
      <c r="BQ3"/>
      <c r="BR3"/>
      <c r="BS3"/>
      <c r="BT3"/>
    </row>
    <row r="4" spans="2:72" ht="7.5" customHeight="1" thickBot="1">
      <c r="AS4"/>
      <c r="AT4"/>
      <c r="AU4"/>
      <c r="AV4"/>
      <c r="AW4"/>
      <c r="AX4"/>
      <c r="AY4"/>
      <c r="AZ4"/>
      <c r="BA4"/>
      <c r="BB4"/>
      <c r="BC4"/>
      <c r="BD4"/>
      <c r="BE4"/>
      <c r="BF4"/>
      <c r="BG4"/>
      <c r="BH4"/>
      <c r="BI4"/>
      <c r="BJ4"/>
      <c r="BK4"/>
      <c r="BL4"/>
      <c r="BM4"/>
      <c r="BN4"/>
      <c r="BO4"/>
      <c r="BP4"/>
      <c r="BQ4"/>
      <c r="BR4"/>
      <c r="BS4"/>
      <c r="BT4"/>
    </row>
    <row r="5" spans="2:72" ht="13.5" customHeight="1" thickTop="1" thickBot="1">
      <c r="B5" s="109" t="str">
        <f>Input!B5</f>
        <v>Data</v>
      </c>
      <c r="C5" s="201">
        <f ca="1">Input!C5</f>
        <v>46265</v>
      </c>
      <c r="D5" s="201"/>
      <c r="E5" s="110"/>
      <c r="F5" s="110"/>
      <c r="H5" s="109" t="str" cm="1">
        <f t="array" ref="H5">INDEX(LEN_IN[],8,MATCH(CONDITIONS!$E$3,Len_DB!$C$8:$H$8,0)+1)</f>
        <v>Standard</v>
      </c>
      <c r="I5" s="202" t="str">
        <f>IF(ISBLANK(Input!I5),"",Input!I5)</f>
        <v>UNI EN 1995:2014</v>
      </c>
      <c r="J5" s="203"/>
      <c r="K5" s="203"/>
      <c r="L5" s="204"/>
      <c r="AS5"/>
      <c r="AT5"/>
      <c r="AU5"/>
      <c r="AV5"/>
      <c r="AW5"/>
      <c r="AX5"/>
      <c r="AY5"/>
      <c r="AZ5"/>
      <c r="BA5"/>
      <c r="BB5"/>
      <c r="BC5"/>
      <c r="BD5"/>
      <c r="BE5"/>
      <c r="BF5"/>
      <c r="BG5"/>
      <c r="BH5"/>
      <c r="BI5"/>
      <c r="BJ5"/>
      <c r="BK5"/>
      <c r="BL5"/>
      <c r="BM5"/>
      <c r="BN5"/>
      <c r="BO5"/>
      <c r="BP5"/>
      <c r="BQ5"/>
      <c r="BR5"/>
      <c r="BS5"/>
      <c r="BT5"/>
    </row>
    <row r="6" spans="2:72" ht="13.5" customHeight="1" thickTop="1" thickBot="1">
      <c r="B6" s="109" t="str">
        <f>Input!B6</f>
        <v>Municipality</v>
      </c>
      <c r="C6" s="205" t="str">
        <f>IF(ISBLANK(Input!C6),"",Input!C6)</f>
        <v/>
      </c>
      <c r="D6" s="206"/>
      <c r="E6" s="206"/>
      <c r="F6" s="207"/>
      <c r="H6" s="109" t="str" cm="1">
        <f t="array" ref="H6">INDEX(LEN_IN[],9,MATCH(CONDITIONS!$E$3,Len_DB!$C$8:$H$8,0)+1)</f>
        <v>Notes</v>
      </c>
      <c r="I6" s="208" t="str">
        <f>IF(ISBLANK(Input!I6),"",Input!I6)</f>
        <v/>
      </c>
      <c r="J6" s="209"/>
      <c r="K6" s="209"/>
      <c r="L6" s="210"/>
      <c r="AS6"/>
      <c r="AT6"/>
      <c r="AU6"/>
      <c r="AV6"/>
      <c r="AW6"/>
      <c r="AX6"/>
      <c r="AY6"/>
      <c r="AZ6"/>
      <c r="BA6"/>
      <c r="BB6"/>
      <c r="BC6"/>
      <c r="BD6"/>
      <c r="BE6"/>
      <c r="BF6"/>
      <c r="BG6"/>
      <c r="BH6"/>
      <c r="BI6"/>
      <c r="BJ6"/>
      <c r="BK6"/>
      <c r="BL6"/>
      <c r="BM6"/>
      <c r="BN6"/>
      <c r="BO6"/>
      <c r="BP6"/>
      <c r="BQ6"/>
      <c r="BR6"/>
      <c r="BS6"/>
      <c r="BT6"/>
    </row>
    <row r="7" spans="2:72" ht="13.5" customHeight="1" thickTop="1" thickBot="1">
      <c r="B7" s="109" t="str">
        <f>Input!B7</f>
        <v>Province</v>
      </c>
      <c r="C7" s="205" t="str">
        <f>IF(ISBLANK(Input!C7),"",Input!C7)</f>
        <v/>
      </c>
      <c r="D7" s="206"/>
      <c r="E7" s="206"/>
      <c r="F7" s="207"/>
      <c r="I7" s="211"/>
      <c r="J7" s="212"/>
      <c r="K7" s="212"/>
      <c r="L7" s="213"/>
      <c r="AS7"/>
      <c r="AT7"/>
      <c r="AU7"/>
      <c r="AV7"/>
      <c r="AW7"/>
      <c r="AX7"/>
      <c r="AY7"/>
      <c r="AZ7"/>
      <c r="BA7"/>
      <c r="BB7"/>
      <c r="BC7"/>
      <c r="BD7"/>
      <c r="BE7"/>
      <c r="BF7"/>
      <c r="BG7"/>
      <c r="BH7"/>
      <c r="BI7"/>
      <c r="BJ7"/>
      <c r="BK7"/>
      <c r="BL7"/>
      <c r="BM7"/>
      <c r="BN7"/>
      <c r="BO7"/>
      <c r="BP7"/>
      <c r="BQ7"/>
      <c r="BR7"/>
      <c r="BS7"/>
      <c r="BT7"/>
    </row>
    <row r="8" spans="2:72" ht="13.5" customHeight="1" thickTop="1" thickBot="1">
      <c r="B8" s="109" t="str">
        <f>Input!B8</f>
        <v>Project</v>
      </c>
      <c r="C8" s="205" t="str">
        <f>IF(ISBLANK(Input!C8),"",Input!C8)</f>
        <v/>
      </c>
      <c r="D8" s="206"/>
      <c r="E8" s="206"/>
      <c r="F8" s="207"/>
      <c r="AS8"/>
      <c r="AT8"/>
      <c r="AU8"/>
      <c r="AV8"/>
      <c r="AW8"/>
      <c r="AX8"/>
      <c r="AY8"/>
      <c r="AZ8"/>
      <c r="BA8"/>
      <c r="BB8"/>
      <c r="BC8"/>
      <c r="BD8"/>
      <c r="BE8"/>
      <c r="BF8"/>
      <c r="BG8"/>
      <c r="BH8"/>
      <c r="BI8"/>
      <c r="BJ8"/>
      <c r="BK8"/>
      <c r="BL8"/>
      <c r="BM8"/>
      <c r="BN8"/>
      <c r="BO8"/>
      <c r="BP8"/>
      <c r="BQ8"/>
      <c r="BR8"/>
      <c r="BS8"/>
      <c r="BT8"/>
    </row>
    <row r="9" spans="2:72" ht="13.5" customHeight="1" thickTop="1" thickBot="1">
      <c r="B9" s="109" t="str">
        <f>Input!B9</f>
        <v>Designer</v>
      </c>
      <c r="C9" s="205" t="str">
        <f>IF(ISBLANK(Input!C9),"",Input!C9)</f>
        <v/>
      </c>
      <c r="D9" s="206"/>
      <c r="E9" s="206"/>
      <c r="F9" s="207"/>
      <c r="I9"/>
      <c r="J9"/>
      <c r="K9"/>
      <c r="L9"/>
      <c r="AS9"/>
      <c r="AT9"/>
      <c r="AU9"/>
      <c r="AV9"/>
      <c r="AW9"/>
      <c r="AX9"/>
      <c r="AY9"/>
      <c r="AZ9"/>
      <c r="BA9"/>
      <c r="BB9"/>
      <c r="BC9"/>
      <c r="BD9"/>
      <c r="BE9"/>
      <c r="BF9"/>
      <c r="BG9"/>
      <c r="BH9"/>
      <c r="BI9"/>
      <c r="BJ9"/>
      <c r="BK9"/>
      <c r="BL9"/>
      <c r="BM9"/>
      <c r="BN9"/>
      <c r="BO9"/>
      <c r="BP9"/>
      <c r="BQ9"/>
      <c r="BR9"/>
      <c r="BS9"/>
      <c r="BT9"/>
    </row>
    <row r="10" spans="2:72" ht="13.5" customHeight="1" thickTop="1" thickBot="1">
      <c r="B10" s="109" t="str">
        <f>Input!B10</f>
        <v>Client</v>
      </c>
      <c r="C10" s="205" t="str">
        <f>IF(ISBLANK(Input!C10),"",Input!C10)</f>
        <v/>
      </c>
      <c r="D10" s="206"/>
      <c r="E10" s="206"/>
      <c r="F10" s="207"/>
      <c r="AS10"/>
      <c r="AT10"/>
      <c r="AU10"/>
      <c r="AV10"/>
      <c r="AW10"/>
      <c r="AX10"/>
      <c r="AY10"/>
      <c r="AZ10"/>
      <c r="BA10"/>
      <c r="BB10"/>
      <c r="BC10"/>
      <c r="BD10"/>
      <c r="BE10"/>
      <c r="BF10"/>
      <c r="BG10"/>
      <c r="BH10"/>
      <c r="BI10"/>
      <c r="BJ10"/>
      <c r="BK10"/>
      <c r="BL10"/>
      <c r="BM10"/>
      <c r="BN10"/>
      <c r="BO10"/>
      <c r="BP10"/>
      <c r="BQ10"/>
      <c r="BR10"/>
      <c r="BS10"/>
      <c r="BT10"/>
    </row>
    <row r="11" spans="2:72" ht="11.25" customHeight="1" thickTop="1"/>
    <row r="12" spans="2:72" ht="18.75" customHeight="1">
      <c r="B12" s="177" t="str" cm="1">
        <f t="array" ref="B12">INDEX(LEN_OUT[],1,MATCH(CONDITIONS!$E$3,Len_DB!$C$8:$H$8,0)+1)</f>
        <v>Resistance verification - ULS (t  = 0)</v>
      </c>
      <c r="C12" s="177"/>
      <c r="D12" s="177"/>
      <c r="E12" s="177"/>
      <c r="F12" s="177"/>
      <c r="G12" s="177"/>
      <c r="H12" s="177"/>
      <c r="I12" s="177"/>
      <c r="J12" s="177"/>
      <c r="K12" s="177"/>
      <c r="L12" s="177"/>
    </row>
    <row r="13" spans="2:72" ht="3.75" customHeight="1"/>
    <row r="14" spans="2:72" ht="22.5" customHeight="1"/>
    <row r="15" spans="2:72" ht="3.75" customHeight="1"/>
    <row r="16" spans="2:72" ht="13.5" customHeight="1">
      <c r="B16" s="178" t="str" cm="1">
        <f t="array" ref="B16">INDEX(LEN_OUT[],2,MATCH(CONDITIONS!$E$3,Len_DB!$C$8:$H$8,0)+1)</f>
        <v>(1) Slab</v>
      </c>
      <c r="C16" s="178"/>
      <c r="D16" s="178"/>
      <c r="E16" s="178"/>
      <c r="F16" s="178"/>
      <c r="H16" s="178" t="str" cm="1">
        <f t="array" ref="H16">INDEX(LEN_OUT[],5,MATCH(CONDITIONS!$E$3,Len_DB!$C$8:$H$8,0)+1)</f>
        <v>(2) Rib beam</v>
      </c>
      <c r="I16" s="178"/>
      <c r="J16" s="178"/>
      <c r="K16" s="178"/>
      <c r="L16" s="178"/>
    </row>
    <row r="17" spans="2:12" ht="7.5" customHeight="1"/>
    <row r="18" spans="2:12" ht="15" customHeight="1" thickBot="1">
      <c r="D18" s="179" t="s">
        <v>577</v>
      </c>
      <c r="E18" s="180"/>
      <c r="J18" s="179" t="s">
        <v>577</v>
      </c>
      <c r="K18" s="180"/>
    </row>
    <row r="19" spans="2:12" ht="13.5" customHeight="1" thickTop="1" thickBot="1">
      <c r="B19" s="20" t="str" cm="1">
        <f t="array" ref="B19">INDEX(LEN_OUT[],3,MATCH(CONDITIONS!$E$3,Len_DB!$C$8:$H$8,0)+1)</f>
        <v>Press-bending</v>
      </c>
      <c r="D19" s="197">
        <f>'Calculation Report'!$E$309</f>
        <v>0.17801457471493604</v>
      </c>
      <c r="E19" s="198"/>
      <c r="F19" s="111" t="str">
        <f>IF(D19&lt;=1,"OK","NO")</f>
        <v>OK</v>
      </c>
      <c r="H19" s="20" t="str" cm="1">
        <f t="array" ref="H19">INDEX(LEN_OUT[],6,MATCH(CONDITIONS!$E$3,Len_DB!$C$8:$H$8,0)+1)</f>
        <v>Tens-bending</v>
      </c>
      <c r="J19" s="197">
        <f>'Calculation Report'!$K$309</f>
        <v>0.28804045707627723</v>
      </c>
      <c r="K19" s="198"/>
      <c r="L19" s="111" t="str">
        <f>IF(J19&lt;=1,"OK","NO")</f>
        <v>OK</v>
      </c>
    </row>
    <row r="20" spans="2:12" ht="13.5" customHeight="1" thickTop="1" thickBot="1">
      <c r="B20" s="20" t="str" cm="1">
        <f t="array" ref="B20">INDEX(LEN_OUT[],4,MATCH(CONDITIONS!$E$3,Len_DB!$C$8:$H$8,0)+1)</f>
        <v>Shear</v>
      </c>
      <c r="D20" s="197">
        <f>'Calculation Report'!$E$312/'Calculation Report'!$I$77</f>
        <v>7.4578242091915631E-2</v>
      </c>
      <c r="E20" s="198"/>
      <c r="F20" s="111" t="str">
        <f>IF(D20&lt;=1,"OK","NO")</f>
        <v>OK</v>
      </c>
      <c r="H20" s="20" t="str" cm="1">
        <f t="array" ref="H20">INDEX(LEN_OUT[],7,MATCH(CONDITIONS!$E$3,Len_DB!$C$8:$H$8,0)+1)</f>
        <v>Shear</v>
      </c>
      <c r="J20" s="197">
        <f>'Calculation Report'!$K$312/'Calculation Report'!$I$99</f>
        <v>0.2067291391615253</v>
      </c>
      <c r="K20" s="198"/>
      <c r="L20" s="111" t="str">
        <f>IF(J20&lt;=1,"OK","NO")</f>
        <v>OK</v>
      </c>
    </row>
    <row r="21" spans="2:12" ht="3.75" customHeight="1" thickTop="1"/>
    <row r="22" spans="2:12" ht="13.5" customHeight="1">
      <c r="B22" s="178" t="str" cm="1">
        <f t="array" ref="B22">INDEX(LEN_OUT[],8,MATCH(CONDITIONS!$E$3,Len_DB!$C$8:$H$8,0)+1)</f>
        <v>Connection</v>
      </c>
      <c r="C22" s="178"/>
      <c r="D22" s="178"/>
      <c r="E22" s="178"/>
      <c r="F22" s="178"/>
    </row>
    <row r="23" spans="2:12" ht="7.5" customHeight="1"/>
    <row r="24" spans="2:12" ht="15" customHeight="1" thickBot="1">
      <c r="D24" s="179" t="s">
        <v>577</v>
      </c>
      <c r="E24" s="180"/>
    </row>
    <row r="25" spans="2:12" ht="15" customHeight="1" thickTop="1" thickBot="1">
      <c r="B25" s="20" t="str" cm="1">
        <f t="array" ref="B25">INDEX(LEN_OUT[],9,MATCH(CONDITIONS!$E$3,Len_DB!$C$8:$H$8,0)+1)</f>
        <v>Connection verification</v>
      </c>
      <c r="D25" s="197">
        <f>MAX('Calculation Report'!E322/'Calculation Report'!K322,'Calculation Report'!E327/'Calculation Report'!K327)</f>
        <v>0.39085063507319817</v>
      </c>
      <c r="E25" s="198"/>
      <c r="F25" s="111" t="str">
        <f>IF(D25&lt;=1,"OK","NO")</f>
        <v>OK</v>
      </c>
    </row>
    <row r="26" spans="2:12" ht="9.75" customHeight="1" thickTop="1"/>
    <row r="27" spans="2:12" ht="18.75" customHeight="1">
      <c r="B27" s="177" t="str" cm="1">
        <f t="array" ref="B27">INDEX(LEN_OUT[],10,MATCH(CONDITIONS!$E$3,Len_DB!$C$8:$H$8,0)+1)</f>
        <v>Resistance verification - ULS (t  = ∞)</v>
      </c>
      <c r="C27" s="177"/>
      <c r="D27" s="177"/>
      <c r="E27" s="177"/>
      <c r="F27" s="177"/>
      <c r="G27" s="177"/>
      <c r="H27" s="177"/>
      <c r="I27" s="177"/>
      <c r="J27" s="177"/>
      <c r="K27" s="177"/>
      <c r="L27" s="177"/>
    </row>
    <row r="28" spans="2:12" ht="3.75" customHeight="1"/>
    <row r="29" spans="2:12" ht="22.5" customHeight="1"/>
    <row r="30" spans="2:12" ht="3.75" customHeight="1"/>
    <row r="31" spans="2:12" ht="13.5" customHeight="1">
      <c r="B31" s="178" t="str" cm="1">
        <f t="array" ref="B31">INDEX(LEN_OUT[],11,MATCH(CONDITIONS!$E$3,Len_DB!$C$8:$H$8,0)+1)</f>
        <v>(1) Slab</v>
      </c>
      <c r="C31" s="178"/>
      <c r="D31" s="178"/>
      <c r="E31" s="178"/>
      <c r="F31" s="178"/>
      <c r="H31" s="178" t="str" cm="1">
        <f t="array" ref="H31">INDEX(LEN_OUT[],14,MATCH(CONDITIONS!$E$3,Len_DB!$C$8:$H$8,0)+1)</f>
        <v>(2) Rib beam</v>
      </c>
      <c r="I31" s="178"/>
      <c r="J31" s="178"/>
      <c r="K31" s="178"/>
      <c r="L31" s="178"/>
    </row>
    <row r="32" spans="2:12" ht="7.5" customHeight="1"/>
    <row r="33" spans="2:12" ht="15" customHeight="1" thickBot="1">
      <c r="D33" s="179" t="s">
        <v>577</v>
      </c>
      <c r="E33" s="180"/>
      <c r="J33" s="179" t="s">
        <v>577</v>
      </c>
      <c r="K33" s="180"/>
    </row>
    <row r="34" spans="2:12" ht="13.5" customHeight="1" thickTop="1" thickBot="1">
      <c r="B34" s="20" t="str" cm="1">
        <f t="array" ref="B34">INDEX(LEN_OUT[],12,MATCH(CONDITIONS!$E$3,Len_DB!$C$8:$H$8,0)+1)</f>
        <v>Press-bending</v>
      </c>
      <c r="D34" s="197">
        <f>'Calculation Report'!$E$381</f>
        <v>0.17801457471493609</v>
      </c>
      <c r="E34" s="198"/>
      <c r="F34" s="111" t="str">
        <f>IF(D34&lt;=1,"OK","NO")</f>
        <v>OK</v>
      </c>
      <c r="H34" s="20" t="str" cm="1">
        <f t="array" ref="H34">INDEX(LEN_OUT[],15,MATCH(CONDITIONS!$E$3,Len_DB!$C$8:$H$8,0)+1)</f>
        <v>Tens-bending</v>
      </c>
      <c r="J34" s="197">
        <f>'Calculation Report'!$K$381</f>
        <v>0.28804045707627723</v>
      </c>
      <c r="K34" s="198"/>
      <c r="L34" s="111" t="str">
        <f>IF(J34&lt;=1,"OK","NO")</f>
        <v>OK</v>
      </c>
    </row>
    <row r="35" spans="2:12" ht="13.5" customHeight="1" thickTop="1" thickBot="1">
      <c r="B35" s="20" t="str" cm="1">
        <f t="array" ref="B35">INDEX(LEN_OUT[],13,MATCH(CONDITIONS!$E$3,Len_DB!$C$8:$H$8,0)+1)</f>
        <v>Shear</v>
      </c>
      <c r="D35" s="197">
        <f>'Calculation Report'!E384/'Calculation Report'!$I$77</f>
        <v>7.4578242091915631E-2</v>
      </c>
      <c r="E35" s="198"/>
      <c r="F35" s="111" t="str">
        <f>IF(D35&lt;=1,"OK","NO")</f>
        <v>OK</v>
      </c>
      <c r="H35" s="20" t="str" cm="1">
        <f t="array" ref="H35">INDEX(LEN_OUT[],16,MATCH(CONDITIONS!$E$3,Len_DB!$C$8:$H$8,0)+1)</f>
        <v>Shear</v>
      </c>
      <c r="J35" s="197">
        <f>'Calculation Report'!K384/'Calculation Report'!$I$99</f>
        <v>0.20672913916152535</v>
      </c>
      <c r="K35" s="198"/>
      <c r="L35" s="111" t="str">
        <f>IF(J35&lt;=1,"OK","NO")</f>
        <v>OK</v>
      </c>
    </row>
    <row r="36" spans="2:12" ht="3.75" customHeight="1" thickTop="1"/>
    <row r="37" spans="2:12" ht="15.75" thickBot="1">
      <c r="D37" s="179" t="s">
        <v>578</v>
      </c>
      <c r="E37" s="180"/>
      <c r="J37" s="179" t="s">
        <v>578</v>
      </c>
      <c r="K37" s="180"/>
    </row>
    <row r="38" spans="2:12" ht="13.5" customHeight="1" thickTop="1" thickBot="1">
      <c r="B38" s="20" t="str" cm="1">
        <f t="array" ref="B38">INDEX(LEN_OUT[],12,MATCH(CONDITIONS!$E$3,Len_DB!$C$8:$H$8,0)+1)</f>
        <v>Press-bending</v>
      </c>
      <c r="D38" s="197">
        <f>'Calculation Report'!$E$345</f>
        <v>0.13917168405841951</v>
      </c>
      <c r="E38" s="198"/>
      <c r="F38" s="111" t="str">
        <f>IF(D38&lt;=1,"OK","NO")</f>
        <v>OK</v>
      </c>
      <c r="H38" s="20" t="str" cm="1">
        <f t="array" ref="H38">INDEX(LEN_OUT[],15,MATCH(CONDITIONS!$E$3,Len_DB!$C$8:$H$8,0)+1)</f>
        <v>Tens-bending</v>
      </c>
      <c r="J38" s="197">
        <f>'Calculation Report'!$K$345</f>
        <v>0.22518985062013003</v>
      </c>
      <c r="K38" s="198"/>
      <c r="L38" s="111" t="str">
        <f>IF(J38&lt;=1,"OK","NO")</f>
        <v>OK</v>
      </c>
    </row>
    <row r="39" spans="2:12" ht="13.5" customHeight="1" thickTop="1" thickBot="1">
      <c r="B39" s="20" t="str" cm="1">
        <f t="array" ref="B39">INDEX(LEN_OUT[],13,MATCH(CONDITIONS!$E$3,Len_DB!$C$8:$H$8,0)+1)</f>
        <v>Shear</v>
      </c>
      <c r="D39" s="197">
        <f>'Calculation Report'!$E$348</f>
        <v>7.5003839373363398E-2</v>
      </c>
      <c r="E39" s="198"/>
      <c r="F39" s="111" t="str">
        <f>IF(D39&lt;=1,"OK","NO")</f>
        <v>OK</v>
      </c>
      <c r="H39" s="20" t="str" cm="1">
        <f t="array" ref="H39">INDEX(LEN_OUT[],16,MATCH(CONDITIONS!$E$3,Len_DB!$C$8:$H$8,0)+1)</f>
        <v>Shear</v>
      </c>
      <c r="J39" s="197">
        <f>'Calculation Report'!$K$348</f>
        <v>0.18192027424446841</v>
      </c>
      <c r="K39" s="198"/>
      <c r="L39" s="111" t="str">
        <f>IF(J39&lt;=1,"OK","NO")</f>
        <v>OK</v>
      </c>
    </row>
    <row r="40" spans="2:12" ht="3.75" customHeight="1" thickTop="1"/>
    <row r="41" spans="2:12" ht="13.5" customHeight="1">
      <c r="B41" s="178" t="str" cm="1">
        <f t="array" ref="B41">INDEX(LEN_OUT[],17,MATCH(CONDITIONS!$E$3,Len_DB!$C$8:$H$8,0)+1)</f>
        <v>Connection</v>
      </c>
      <c r="C41" s="178"/>
      <c r="D41" s="178"/>
      <c r="E41" s="178"/>
      <c r="F41" s="178"/>
    </row>
    <row r="42" spans="2:12" ht="7.5" customHeight="1"/>
    <row r="43" spans="2:12" ht="15" customHeight="1" thickBot="1">
      <c r="D43" s="179" t="s">
        <v>577</v>
      </c>
      <c r="E43" s="180"/>
    </row>
    <row r="44" spans="2:12" ht="15" customHeight="1" thickTop="1" thickBot="1">
      <c r="B44" s="20" t="str" cm="1">
        <f t="array" ref="B44">INDEX(LEN_OUT[],18,MATCH(CONDITIONS!$E$3,Len_DB!$C$8:$H$8,0)+1)</f>
        <v>Connection verification</v>
      </c>
      <c r="D44" s="197">
        <f>MAX('Calculation Report'!E394/'Calculation Report'!K394,'Calculation Report'!E399/'Calculation Report'!K399)</f>
        <v>0.39085063507319834</v>
      </c>
      <c r="E44" s="198"/>
      <c r="F44" s="111" t="str">
        <f>IF(D44&lt;=1,"OK","NO")</f>
        <v>OK</v>
      </c>
    </row>
    <row r="45" spans="2:12" ht="3.75" customHeight="1" thickTop="1"/>
    <row r="46" spans="2:12" ht="15" customHeight="1" thickBot="1">
      <c r="D46" s="179" t="s">
        <v>578</v>
      </c>
      <c r="E46" s="180"/>
    </row>
    <row r="47" spans="2:12" ht="15" customHeight="1" thickTop="1" thickBot="1">
      <c r="B47" s="20" t="str" cm="1">
        <f t="array" ref="B47">INDEX(LEN_OUT[],18,MATCH(CONDITIONS!$E$3,Len_DB!$C$8:$H$8,0)+1)</f>
        <v>Connection verification</v>
      </c>
      <c r="D47" s="197">
        <f>MAX('Calculation Report'!E358/'Calculation Report'!K358,'Calculation Report'!E363/'Calculation Report'!K363)</f>
        <v>0.30556678398690568</v>
      </c>
      <c r="E47" s="198"/>
      <c r="F47" s="111" t="str">
        <f>IF(D47&lt;=1,"OK","NO")</f>
        <v>OK</v>
      </c>
    </row>
    <row r="48" spans="2:12" ht="9.75" customHeight="1" thickTop="1"/>
    <row r="49" spans="2:12" ht="18.75" customHeight="1">
      <c r="B49" s="177" t="str" cm="1">
        <f t="array" ref="B49">INDEX(LEN_OUT[],19,MATCH(CONDITIONS!$E$3,Len_DB!$C$8:$H$8,0)+1)</f>
        <v>Deflection verification - ELS (t = 0)</v>
      </c>
      <c r="C49" s="177"/>
      <c r="D49" s="177"/>
      <c r="E49" s="177"/>
      <c r="F49" s="177"/>
      <c r="G49" s="177"/>
      <c r="H49" s="177"/>
      <c r="I49" s="177"/>
      <c r="J49" s="177"/>
      <c r="K49" s="177"/>
      <c r="L49" s="177"/>
    </row>
    <row r="50" spans="2:12" ht="3.75" customHeight="1"/>
    <row r="51" spans="2:12" ht="21.75" customHeight="1"/>
    <row r="52" spans="2:12" ht="3.75" customHeight="1" thickBot="1"/>
    <row r="53" spans="2:12" ht="15" customHeight="1" thickTop="1" thickBot="1">
      <c r="B53" s="20" t="str" cm="1">
        <f t="array" ref="B53">INDEX(LEN_OUT[],20,MATCH(CONDITIONS!$E$3,Len_DB!$C$8:$H$8,0)+1)</f>
        <v>Maximum deflection</v>
      </c>
      <c r="D53" s="129" t="s">
        <v>579</v>
      </c>
      <c r="E53" s="126">
        <v>400</v>
      </c>
    </row>
    <row r="54" spans="2:12" ht="13.5" customHeight="1" thickTop="1" thickBot="1"/>
    <row r="55" spans="2:12" ht="12.75" customHeight="1" thickTop="1" thickBot="1">
      <c r="B55" s="20" t="str" cm="1">
        <f t="array" ref="B55">INDEX(LEN_OUT[],21,MATCH(CONDITIONS!$E$3,Len_DB!$C$8:$H$8,0)+1)</f>
        <v>Istantaneous deflection</v>
      </c>
      <c r="D55" s="130" t="s">
        <v>580</v>
      </c>
      <c r="E55" s="112">
        <f>'Calculation Report'!$E$485</f>
        <v>4.7214793531648107</v>
      </c>
      <c r="F55" s="25" t="s">
        <v>559</v>
      </c>
      <c r="I55" s="130" t="s">
        <v>581</v>
      </c>
      <c r="J55" s="113">
        <f>Input!$E$33/$E$53</f>
        <v>15</v>
      </c>
      <c r="K55" s="25" t="s">
        <v>559</v>
      </c>
      <c r="L55" s="111" t="str">
        <f>IF(E55&lt;=J55,"OK","NO")</f>
        <v>OK</v>
      </c>
    </row>
    <row r="56" spans="2:12" ht="9.75" customHeight="1" thickTop="1"/>
    <row r="57" spans="2:12" ht="18.75" customHeight="1">
      <c r="B57" s="177" t="str" cm="1">
        <f t="array" ref="B57">INDEX(LEN_OUT[],22,MATCH(CONDITIONS!$E$3,Len_DB!$C$8:$H$8,0)+1)</f>
        <v>Deflection verification - ELS (t = ∞)</v>
      </c>
      <c r="C57" s="177"/>
      <c r="D57" s="177"/>
      <c r="E57" s="177"/>
      <c r="F57" s="177"/>
      <c r="G57" s="177"/>
      <c r="H57" s="177"/>
      <c r="I57" s="177"/>
      <c r="J57" s="177"/>
      <c r="K57" s="177"/>
      <c r="L57" s="177"/>
    </row>
    <row r="58" spans="2:12" ht="3.75" customHeight="1"/>
    <row r="59" spans="2:12" ht="21.75" customHeight="1"/>
    <row r="60" spans="2:12" ht="3.75" customHeight="1" thickBot="1"/>
    <row r="61" spans="2:12" ht="15" customHeight="1" thickTop="1" thickBot="1">
      <c r="B61" s="20" t="str" cm="1">
        <f t="array" ref="B61">INDEX(LEN_OUT[],23,MATCH(CONDITIONS!$E$3,Len_DB!$C$8:$H$8,0)+1)</f>
        <v>Maximum deflection</v>
      </c>
      <c r="D61" s="129" t="s">
        <v>579</v>
      </c>
      <c r="E61" s="126">
        <v>300</v>
      </c>
    </row>
    <row r="62" spans="2:12" ht="13.5" customHeight="1" thickTop="1" thickBot="1"/>
    <row r="63" spans="2:12" ht="13.5" customHeight="1" thickTop="1" thickBot="1">
      <c r="B63" s="20" t="str" cm="1">
        <f t="array" ref="B63">INDEX(LEN_OUT[],24,MATCH(CONDITIONS!$E$3,Len_DB!$C$8:$H$8,0)+1)</f>
        <v>Final deflection</v>
      </c>
      <c r="D63" s="125" t="s">
        <v>580</v>
      </c>
      <c r="E63" s="112">
        <f>'Calculation Report'!$K$485</f>
        <v>5.8101699807149485</v>
      </c>
      <c r="F63" s="25" t="s">
        <v>559</v>
      </c>
      <c r="I63" s="125" t="s">
        <v>581</v>
      </c>
      <c r="J63" s="113">
        <f>Input!$E$33/$E$61</f>
        <v>20</v>
      </c>
      <c r="K63" s="25" t="s">
        <v>559</v>
      </c>
      <c r="L63" s="111" t="str">
        <f>IF(E63&lt;=J63,"OK","NO")</f>
        <v>OK</v>
      </c>
    </row>
    <row r="64" spans="2:12" ht="9.75" customHeight="1" thickTop="1"/>
    <row r="65" spans="2:12" ht="45" customHeight="1" thickBot="1">
      <c r="B65" s="107"/>
      <c r="C65" s="107"/>
      <c r="D65" s="190" t="str">
        <f>D1</f>
        <v>SHARP_METAL_CALCULATOR_v1.2</v>
      </c>
      <c r="E65" s="190"/>
      <c r="F65" s="190"/>
      <c r="G65" s="190"/>
      <c r="H65" s="190"/>
      <c r="I65" s="190"/>
      <c r="J65" s="108"/>
      <c r="K65" s="190" t="s">
        <v>549</v>
      </c>
      <c r="L65" s="190"/>
    </row>
    <row r="66" spans="2:12" ht="4.5" customHeight="1"/>
    <row r="67" spans="2:12" ht="18.75" customHeight="1">
      <c r="B67" s="177" t="str" cm="1">
        <f t="array" ref="B67">INDEX(LEN_OUT[],25,MATCH(CONDITIONS!$E$3,Len_DB!$C$8:$H$8,0)+1)</f>
        <v>Vibration verification</v>
      </c>
      <c r="C67" s="177"/>
      <c r="D67" s="177"/>
      <c r="E67" s="177"/>
      <c r="F67" s="177"/>
      <c r="G67" s="177"/>
      <c r="H67" s="177"/>
      <c r="I67" s="177"/>
      <c r="J67" s="177"/>
      <c r="K67" s="177"/>
      <c r="L67" s="177"/>
    </row>
    <row r="68" spans="2:12" ht="3.75" customHeight="1"/>
    <row r="69" spans="2:12" ht="21.75" customHeight="1"/>
    <row r="70" spans="2:12" ht="3.75" customHeight="1" thickBot="1"/>
    <row r="71" spans="2:12" ht="15" customHeight="1" thickTop="1" thickBot="1">
      <c r="B71" s="20" t="str" cm="1">
        <f t="array" ref="B71">INDEX(LEN_OUT[],26,MATCH(CONDITIONS!$E$3,Len_DB!$C$8:$H$8,0)+1)</f>
        <v>Lateral stiffness</v>
      </c>
      <c r="C71" s="131" t="s">
        <v>582</v>
      </c>
      <c r="D71" s="199">
        <f>MIN(EJeff!K21:L21)*EJeff!$E$3/EJeff!$B$3</f>
        <v>7333333.333333333</v>
      </c>
      <c r="E71" s="200"/>
      <c r="F71" s="20" t="s">
        <v>583</v>
      </c>
      <c r="H71" s="20" t="str" cm="1">
        <f t="array" ref="H71">INDEX(LEN_OUT[],29,MATCH(CONDITIONS!$E$3,Len_DB!$C$8:$H$8,0)+1)</f>
        <v>Fundamental Frequency</v>
      </c>
      <c r="J71" s="131" t="s">
        <v>584</v>
      </c>
      <c r="K71" s="114">
        <f>'Calculation Report'!$E$500</f>
        <v>8.4827135957652082</v>
      </c>
      <c r="L71" s="25" t="s">
        <v>585</v>
      </c>
    </row>
    <row r="72" spans="2:12" ht="13.5" customHeight="1" thickTop="1" thickBot="1">
      <c r="B72" s="20" t="str" cm="1">
        <f t="array" ref="B72">INDEX(LEN_OUT[],27,MATCH(CONDITIONS!$E$3,Len_DB!$C$8:$H$8,0)+1)</f>
        <v>Damping</v>
      </c>
      <c r="C72" s="195" t="s">
        <v>586</v>
      </c>
      <c r="D72" s="196"/>
      <c r="E72" s="127">
        <v>0.04</v>
      </c>
      <c r="K72" s="115"/>
    </row>
    <row r="73" spans="2:12" ht="13.5" customHeight="1" thickTop="1">
      <c r="B73" s="20" t="str" cm="1">
        <f t="array" ref="B73">INDEX(LEN_OUT[],28,MATCH(CONDITIONS!$E$3,Len_DB!$C$8:$H$8,0)+1)</f>
        <v>Collaborating width</v>
      </c>
      <c r="C73" s="195" t="s">
        <v>587</v>
      </c>
      <c r="D73" s="196"/>
      <c r="E73" s="114">
        <f>Input!$E$30/1000</f>
        <v>0.6</v>
      </c>
      <c r="F73" s="20" t="s">
        <v>588</v>
      </c>
    </row>
    <row r="74" spans="2:12" ht="9.75" customHeight="1" thickBot="1"/>
    <row r="75" spans="2:12" ht="15" customHeight="1" thickTop="1" thickBot="1">
      <c r="B75" s="20" t="str" cm="1">
        <f t="array" ref="B75">INDEX(LEN_OUT[],31,MATCH(CONDITIONS!$E$3,Len_DB!$C$8:$H$8,0)+1)</f>
        <v>Istantaneous deflection</v>
      </c>
      <c r="D75" s="131" t="s">
        <v>589</v>
      </c>
      <c r="E75" s="112">
        <f>'Calculation Report'!E502</f>
        <v>0.37042105349924953</v>
      </c>
      <c r="F75" s="25" t="s">
        <v>559</v>
      </c>
      <c r="H75" s="20" t="str" cm="1">
        <f t="array" ref="H75">INDEX(LEN_OUT[],30,MATCH(CONDITIONS!$E$3,Len_DB!$C$8:$H$8,0)+1)</f>
        <v>Deflection limit</v>
      </c>
      <c r="I75" s="116" t="s">
        <v>590</v>
      </c>
      <c r="J75" s="128">
        <v>1</v>
      </c>
      <c r="K75" s="25" t="s">
        <v>559</v>
      </c>
      <c r="L75" s="111" t="str">
        <f>IF(E75&lt;=J75,"OK","NO")</f>
        <v>OK</v>
      </c>
    </row>
    <row r="76" spans="2:12" ht="3.75" customHeight="1" thickTop="1"/>
    <row r="77" spans="2:12" ht="21.75" customHeight="1"/>
    <row r="78" spans="2:12" ht="3.75" customHeight="1" thickBot="1"/>
    <row r="79" spans="2:12" ht="15" customHeight="1" thickTop="1" thickBot="1">
      <c r="B79" s="20" t="str">
        <f>INDEX(LEN_OUT[],32,MATCH(CONDITIONS!$E$3,LEN_OUT[#Headers],0))</f>
        <v>Istantaneous velocity</v>
      </c>
      <c r="D79" s="131" t="s">
        <v>591</v>
      </c>
      <c r="E79" s="112">
        <f>'Calculation Report'!$E$508*1000</f>
        <v>2.547845142439737</v>
      </c>
      <c r="F79" s="25" t="s">
        <v>592</v>
      </c>
      <c r="H79" s="20" t="str" cm="1">
        <f t="array" ref="H79">INDEX(LEN_OUT[],33,MATCH(CONDITIONS!$E$3,Len_DB!$C$8:$H$8,0)+1)</f>
        <v>Maximum velocity</v>
      </c>
      <c r="I79" s="116" t="s">
        <v>593</v>
      </c>
      <c r="J79" s="112">
        <f>'Calculation Report'!$E$512*1000</f>
        <v>42.296332833244442</v>
      </c>
      <c r="K79" s="25" t="s">
        <v>592</v>
      </c>
      <c r="L79" s="111" t="str">
        <f>IF(E79&lt;=J79,"OK","NO")</f>
        <v>OK</v>
      </c>
    </row>
    <row r="80" spans="2:12" ht="3.75" customHeight="1" thickTop="1"/>
    <row r="81" spans="2:12" ht="15" customHeight="1">
      <c r="B81" s="20" t="str">
        <f>IF(K71&lt;8,INDEX(LEN_OUT[],34,MATCH(CONDITIONS!$E$3,LEN_OUT[#Headers],0)),"")</f>
        <v/>
      </c>
      <c r="D81" s="125" t="str">
        <f>IF(K71&lt;8,"a","")</f>
        <v/>
      </c>
      <c r="E81" s="250" t="str">
        <f>IF(K71&lt;8,'Calculation Report'!$E$514,"")</f>
        <v/>
      </c>
      <c r="F81" s="25" t="str">
        <f>IF(K71&lt;8,"m/s²","")</f>
        <v/>
      </c>
      <c r="H81" s="214" t="str">
        <f>IF(K71&lt;8,IF(E81&lt;=0.1,RefText_DB!$B$15,IF(E81&lt;0.35,RefText_DB!$B$16,RefText_DB!$B$17)),"")</f>
        <v/>
      </c>
      <c r="I81" s="214"/>
      <c r="J81" s="214"/>
      <c r="K81" s="214"/>
      <c r="L81" s="214"/>
    </row>
    <row r="82" spans="2:12" ht="15" customHeight="1"/>
    <row r="118" ht="13.5" hidden="1" customHeight="1"/>
    <row r="119" ht="13.5" hidden="1" customHeight="1"/>
    <row r="120" ht="13.5" hidden="1" customHeight="1"/>
    <row r="121" ht="13.5" hidden="1" customHeight="1"/>
    <row r="133" hidden="1"/>
    <row r="134" hidden="1"/>
    <row r="135" hidden="1"/>
    <row r="136" hidden="1"/>
    <row r="137" hidden="1"/>
    <row r="138" hidden="1"/>
    <row r="139" hidden="1"/>
    <row r="140" hidden="1"/>
    <row r="141" hidden="1"/>
    <row r="142" hidden="1"/>
    <row r="143" hidden="1"/>
    <row r="144" hidden="1"/>
    <row r="145" hidden="1"/>
  </sheetData>
  <sheetProtection algorithmName="SHA-512" hashValue="H/QZzwYZQOYuHY8V246CJzIMadvypksRRglhd2ddubAxXsB1ejFRl3Y0DkAkpNvlgzA3bg/GPuM28mvEBUBWbA==" saltValue="hXOZOlbpw/kikyNTe1/VEA==" spinCount="100000" sheet="1" selectLockedCells="1"/>
  <mergeCells count="52">
    <mergeCell ref="H81:L81"/>
    <mergeCell ref="B3:L3"/>
    <mergeCell ref="J38:K38"/>
    <mergeCell ref="D39:E39"/>
    <mergeCell ref="J39:K39"/>
    <mergeCell ref="B41:F41"/>
    <mergeCell ref="D44:E44"/>
    <mergeCell ref="D47:E47"/>
    <mergeCell ref="B22:F22"/>
    <mergeCell ref="D25:E25"/>
    <mergeCell ref="B31:F31"/>
    <mergeCell ref="H31:L31"/>
    <mergeCell ref="D34:E34"/>
    <mergeCell ref="J34:K34"/>
    <mergeCell ref="D35:E35"/>
    <mergeCell ref="D65:I65"/>
    <mergeCell ref="B27:L27"/>
    <mergeCell ref="C8:F8"/>
    <mergeCell ref="C9:F9"/>
    <mergeCell ref="C10:F10"/>
    <mergeCell ref="D19:E19"/>
    <mergeCell ref="J19:K19"/>
    <mergeCell ref="D20:E20"/>
    <mergeCell ref="J20:K20"/>
    <mergeCell ref="B16:F16"/>
    <mergeCell ref="H16:L16"/>
    <mergeCell ref="D18:E18"/>
    <mergeCell ref="D24:E24"/>
    <mergeCell ref="J18:K18"/>
    <mergeCell ref="D1:I1"/>
    <mergeCell ref="K1:L1"/>
    <mergeCell ref="B12:L12"/>
    <mergeCell ref="C5:D5"/>
    <mergeCell ref="I5:L5"/>
    <mergeCell ref="C6:F6"/>
    <mergeCell ref="I6:L7"/>
    <mergeCell ref="C7:F7"/>
    <mergeCell ref="C72:D72"/>
    <mergeCell ref="C73:D73"/>
    <mergeCell ref="D33:E33"/>
    <mergeCell ref="D37:E37"/>
    <mergeCell ref="D46:E46"/>
    <mergeCell ref="D43:E43"/>
    <mergeCell ref="D38:E38"/>
    <mergeCell ref="B67:L67"/>
    <mergeCell ref="J33:K33"/>
    <mergeCell ref="D71:E71"/>
    <mergeCell ref="K65:L65"/>
    <mergeCell ref="B49:L49"/>
    <mergeCell ref="B57:L57"/>
    <mergeCell ref="J37:K37"/>
    <mergeCell ref="J35:K35"/>
  </mergeCells>
  <conditionalFormatting sqref="F19:F20 L55">
    <cfRule type="cellIs" dxfId="150" priority="30" operator="equal">
      <formula>"OK"</formula>
    </cfRule>
  </conditionalFormatting>
  <conditionalFormatting sqref="F19:F20 L55">
    <cfRule type="cellIs" dxfId="149" priority="29" operator="equal">
      <formula>"NO"</formula>
    </cfRule>
  </conditionalFormatting>
  <conditionalFormatting sqref="F25">
    <cfRule type="cellIs" dxfId="148" priority="28" operator="equal">
      <formula>"OK"</formula>
    </cfRule>
  </conditionalFormatting>
  <conditionalFormatting sqref="F25">
    <cfRule type="cellIs" dxfId="147" priority="27" operator="equal">
      <formula>"NO"</formula>
    </cfRule>
  </conditionalFormatting>
  <conditionalFormatting sqref="L19">
    <cfRule type="cellIs" dxfId="146" priority="26" operator="equal">
      <formula>"OK"</formula>
    </cfRule>
  </conditionalFormatting>
  <conditionalFormatting sqref="L19">
    <cfRule type="cellIs" dxfId="145" priority="25" operator="equal">
      <formula>"NO"</formula>
    </cfRule>
  </conditionalFormatting>
  <conditionalFormatting sqref="L20">
    <cfRule type="cellIs" dxfId="144" priority="24" operator="equal">
      <formula>"OK"</formula>
    </cfRule>
  </conditionalFormatting>
  <conditionalFormatting sqref="L20">
    <cfRule type="cellIs" dxfId="143" priority="23" operator="equal">
      <formula>"NO"</formula>
    </cfRule>
  </conditionalFormatting>
  <conditionalFormatting sqref="F34:F35">
    <cfRule type="cellIs" dxfId="142" priority="22" operator="equal">
      <formula>"OK"</formula>
    </cfRule>
  </conditionalFormatting>
  <conditionalFormatting sqref="F34:F35">
    <cfRule type="cellIs" dxfId="141" priority="21" operator="equal">
      <formula>"NO"</formula>
    </cfRule>
  </conditionalFormatting>
  <conditionalFormatting sqref="L34">
    <cfRule type="cellIs" dxfId="140" priority="20" operator="equal">
      <formula>"OK"</formula>
    </cfRule>
  </conditionalFormatting>
  <conditionalFormatting sqref="L34">
    <cfRule type="cellIs" dxfId="139" priority="19" operator="equal">
      <formula>"NO"</formula>
    </cfRule>
  </conditionalFormatting>
  <conditionalFormatting sqref="L35">
    <cfRule type="cellIs" dxfId="138" priority="18" operator="equal">
      <formula>"OK"</formula>
    </cfRule>
  </conditionalFormatting>
  <conditionalFormatting sqref="L35">
    <cfRule type="cellIs" dxfId="137" priority="17" operator="equal">
      <formula>"NO"</formula>
    </cfRule>
  </conditionalFormatting>
  <conditionalFormatting sqref="F44">
    <cfRule type="cellIs" dxfId="136" priority="16" operator="equal">
      <formula>"OK"</formula>
    </cfRule>
  </conditionalFormatting>
  <conditionalFormatting sqref="F44">
    <cfRule type="cellIs" dxfId="135" priority="15" operator="equal">
      <formula>"NO"</formula>
    </cfRule>
  </conditionalFormatting>
  <conditionalFormatting sqref="F38:F39">
    <cfRule type="cellIs" dxfId="134" priority="14" operator="equal">
      <formula>"OK"</formula>
    </cfRule>
  </conditionalFormatting>
  <conditionalFormatting sqref="F38:F39">
    <cfRule type="cellIs" dxfId="133" priority="13" operator="equal">
      <formula>"NO"</formula>
    </cfRule>
  </conditionalFormatting>
  <conditionalFormatting sqref="L38">
    <cfRule type="cellIs" dxfId="132" priority="12" operator="equal">
      <formula>"OK"</formula>
    </cfRule>
  </conditionalFormatting>
  <conditionalFormatting sqref="L38">
    <cfRule type="cellIs" dxfId="131" priority="11" operator="equal">
      <formula>"NO"</formula>
    </cfRule>
  </conditionalFormatting>
  <conditionalFormatting sqref="L39">
    <cfRule type="cellIs" dxfId="130" priority="10" operator="equal">
      <formula>"OK"</formula>
    </cfRule>
  </conditionalFormatting>
  <conditionalFormatting sqref="L39">
    <cfRule type="cellIs" dxfId="129" priority="9" operator="equal">
      <formula>"NO"</formula>
    </cfRule>
  </conditionalFormatting>
  <conditionalFormatting sqref="F47">
    <cfRule type="cellIs" dxfId="128" priority="8" operator="equal">
      <formula>"OK"</formula>
    </cfRule>
  </conditionalFormatting>
  <conditionalFormatting sqref="F47">
    <cfRule type="cellIs" dxfId="127" priority="7" operator="equal">
      <formula>"NO"</formula>
    </cfRule>
  </conditionalFormatting>
  <conditionalFormatting sqref="L63">
    <cfRule type="cellIs" dxfId="126" priority="6" operator="equal">
      <formula>"OK"</formula>
    </cfRule>
  </conditionalFormatting>
  <conditionalFormatting sqref="L63">
    <cfRule type="cellIs" dxfId="125" priority="5" operator="equal">
      <formula>"NO"</formula>
    </cfRule>
  </conditionalFormatting>
  <conditionalFormatting sqref="L75">
    <cfRule type="cellIs" dxfId="124" priority="4" operator="equal">
      <formula>"OK"</formula>
    </cfRule>
  </conditionalFormatting>
  <conditionalFormatting sqref="L75">
    <cfRule type="cellIs" dxfId="123" priority="3" operator="equal">
      <formula>"NO"</formula>
    </cfRule>
  </conditionalFormatting>
  <conditionalFormatting sqref="L79">
    <cfRule type="cellIs" dxfId="122" priority="2" operator="equal">
      <formula>"OK"</formula>
    </cfRule>
  </conditionalFormatting>
  <conditionalFormatting sqref="L79">
    <cfRule type="cellIs" dxfId="121" priority="1" operator="equal">
      <formula>"NO"</formula>
    </cfRule>
  </conditionalFormatting>
  <conditionalFormatting sqref="E81">
    <cfRule type="notContainsBlanks" dxfId="120" priority="31">
      <formula>LEN(TRIM(E81))&gt;0</formula>
    </cfRule>
  </conditionalFormatting>
  <conditionalFormatting sqref="H81:L81">
    <cfRule type="notContainsBlanks" dxfId="119" priority="32">
      <formula>LEN(TRIM(H81))&gt;0</formula>
    </cfRule>
  </conditionalFormatting>
  <dataValidations disablePrompts="1" count="5">
    <dataValidation type="list" allowBlank="1" showInputMessage="1" showErrorMessage="1" sqref="I31:L31 C31:F31" xr:uid="{6857EB8B-7D83-4274-9652-DF351FF3A9B4}">
      <formula1>INDIRECT("TimberType[Classe]")</formula1>
    </dataValidation>
    <dataValidation type="list" allowBlank="1" showInputMessage="1" showErrorMessage="1" sqref="C37 F37" xr:uid="{D4BE2820-6902-4E17-81FC-8B216FFFEE8F}">
      <formula1>INDIRECT("CLT[Code]")</formula1>
    </dataValidation>
    <dataValidation type="list" allowBlank="1" showInputMessage="1" showErrorMessage="1" sqref="E52:F52 K52:L52" xr:uid="{2DAA17EA-5EAE-457A-8F18-BD0D74357763}">
      <formula1>"1,2,3,4,5,6,7,8,9,10"</formula1>
    </dataValidation>
    <dataValidation type="list" allowBlank="1" showInputMessage="1" showErrorMessage="1" sqref="I24" xr:uid="{B410258B-6B9F-4C8A-82FA-AAD4D1750A68}">
      <formula1>"1,2,3"</formula1>
    </dataValidation>
    <dataValidation type="list" allowBlank="1" showInputMessage="1" showErrorMessage="1" sqref="I14:L14" xr:uid="{E1869368-4E6E-47AE-A24D-F7F1B0BB3BB6}">
      <formula1>"UNI EN 1995:2015, NTC2018"</formula1>
    </dataValidation>
  </dataValidations>
  <pageMargins left="0" right="0" top="0" bottom="0" header="0" footer="0"/>
  <pageSetup paperSize="9" scale="97" fitToHeight="0" orientation="portrait" r:id="rId1"/>
  <headerFooter>
    <oddHeader>&amp;L&amp;G</oddHeader>
    <oddFooter>&amp;R&amp;P</oddFooter>
  </headerFooter>
  <rowBreaks count="2" manualBreakCount="2">
    <brk id="64" max="12" man="1"/>
    <brk id="83" max="13" man="1"/>
  </rowBreaks>
  <colBreaks count="1" manualBreakCount="1">
    <brk id="13" max="1048575" man="1"/>
  </colBreaks>
  <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634896D4-0AA6-40A2-9AB8-BEB83EA91D63}">
          <x14:formula1>
            <xm:f>RefText_DB!$B$9:$B$11</xm:f>
          </x14:formula1>
          <xm:sqref>I50:L50 C50:F50</xm:sqref>
        </x14:dataValidation>
        <x14:dataValidation type="list" allowBlank="1" showInputMessage="1" showErrorMessage="1" xr:uid="{A9139AAE-F63F-48C7-A541-4426B237E82C}">
          <x14:formula1>
            <xm:f>Dati!$A$78:$A$82</xm:f>
          </x14:formula1>
          <xm:sqref>I23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3Report">
    <pageSetUpPr fitToPage="1"/>
  </sheetPr>
  <dimension ref="A1:M774"/>
  <sheetViews>
    <sheetView showGridLines="0" showRowColHeaders="0" zoomScaleNormal="100" zoomScaleSheetLayoutView="100" workbookViewId="0">
      <selection activeCell="B389" sqref="B389:L389"/>
      <extLst>
        <ext xmlns:xlsdti="http://schemas.microsoft.com/office/spreadsheetml/2023/showDataTypeIcons" uri="{77bfe23e-c014-4d31-8a63-9c772dbf06b6}">
          <xlsdti:showDataTypeIcons visible="0"/>
        </ext>
      </extLst>
    </sheetView>
  </sheetViews>
  <sheetFormatPr defaultColWidth="0" defaultRowHeight="14.25" zeroHeight="1"/>
  <cols>
    <col min="1" max="1" width="1.42578125" style="142" customWidth="1"/>
    <col min="2" max="2" width="17.140625" style="142" customWidth="1"/>
    <col min="3" max="5" width="8.5703125" style="142" customWidth="1"/>
    <col min="6" max="6" width="7.140625" style="142" customWidth="1"/>
    <col min="7" max="7" width="5.7109375" style="142" customWidth="1"/>
    <col min="8" max="8" width="17.140625" style="142" customWidth="1"/>
    <col min="9" max="11" width="8.5703125" style="142" customWidth="1"/>
    <col min="12" max="12" width="7.140625" style="142" customWidth="1"/>
    <col min="13" max="13" width="1.28515625" style="142" customWidth="1"/>
    <col min="14" max="16384" width="9.140625" style="142" hidden="1"/>
  </cols>
  <sheetData>
    <row r="1" spans="1:13" ht="46.15" customHeight="1">
      <c r="H1"/>
    </row>
    <row r="2" spans="1:13">
      <c r="A2" s="143"/>
      <c r="B2" s="143"/>
      <c r="C2" s="143"/>
      <c r="D2" s="143"/>
      <c r="E2" s="143"/>
      <c r="F2" s="143"/>
      <c r="G2" s="143"/>
      <c r="H2" s="143"/>
      <c r="I2" s="143"/>
      <c r="J2" s="143"/>
      <c r="K2" s="143"/>
      <c r="L2" s="143"/>
      <c r="M2" s="143"/>
    </row>
    <row r="3" spans="1:13" ht="15.75" customHeight="1"/>
    <row r="4" spans="1:13" ht="39" customHeight="1"/>
    <row r="5" spans="1:13" ht="21" customHeight="1"/>
    <row r="6" spans="1:13" ht="42" customHeight="1"/>
    <row r="7" spans="1:13" ht="16.5" customHeight="1">
      <c r="C7" s="219" t="str" cm="1">
        <f t="array" ref="C7">INDEX(LEN_REPORT[],1,MATCH(CONDITIONS!$E$3,Len_DB!$C$8:$H$8,0)+1)</f>
        <v>Technical calculation report</v>
      </c>
      <c r="D7" s="219"/>
      <c r="E7" s="219"/>
      <c r="F7" s="219"/>
      <c r="G7" s="219"/>
      <c r="H7" s="219"/>
    </row>
    <row r="8" spans="1:13" ht="12.75" customHeight="1">
      <c r="C8" s="219"/>
      <c r="D8" s="219"/>
      <c r="E8" s="219"/>
      <c r="F8" s="219"/>
      <c r="G8" s="219"/>
      <c r="H8" s="219"/>
    </row>
    <row r="9" spans="1:13" ht="12.75" customHeight="1">
      <c r="C9" s="219"/>
      <c r="D9" s="219"/>
      <c r="E9" s="219"/>
      <c r="F9" s="219"/>
      <c r="G9" s="219"/>
      <c r="H9" s="219"/>
    </row>
    <row r="10" spans="1:13" ht="12.75" customHeight="1">
      <c r="C10" s="219"/>
      <c r="D10" s="219"/>
      <c r="E10" s="219"/>
      <c r="F10" s="219"/>
      <c r="G10" s="219"/>
      <c r="H10" s="219"/>
    </row>
    <row r="11" spans="1:13" ht="12.75" customHeight="1">
      <c r="C11" s="219"/>
      <c r="D11" s="219"/>
      <c r="E11" s="219"/>
      <c r="F11" s="219"/>
      <c r="G11" s="219"/>
      <c r="H11" s="219"/>
      <c r="K11" s="220">
        <f ca="1">Input!$C$5</f>
        <v>46265</v>
      </c>
      <c r="L11" s="220"/>
    </row>
    <row r="12" spans="1:13" ht="12.75" customHeight="1">
      <c r="C12" s="219"/>
      <c r="D12" s="219"/>
      <c r="E12" s="219"/>
      <c r="F12" s="219"/>
      <c r="G12" s="219"/>
      <c r="H12" s="219"/>
    </row>
    <row r="13" spans="1:13" ht="15">
      <c r="C13" s="144" t="s">
        <v>455</v>
      </c>
      <c r="G13" s="145" t="s">
        <v>594</v>
      </c>
      <c r="J13" s="221" t="str">
        <f>IF(ISBLANK(Input!I5),"",Input!I5)</f>
        <v>UNI EN 1995:2014</v>
      </c>
      <c r="K13" s="221"/>
      <c r="L13" s="221"/>
    </row>
    <row r="14" spans="1:13" ht="6.6" customHeight="1"/>
    <row r="15" spans="1:13" ht="36" customHeight="1">
      <c r="D15" s="223" t="str">
        <f>IF(ISBLANK(Input!C8),"",Input!C8)</f>
        <v/>
      </c>
      <c r="E15" s="223"/>
      <c r="F15" s="223"/>
      <c r="G15" s="223"/>
      <c r="H15" s="223"/>
      <c r="I15" s="223"/>
      <c r="J15" s="223"/>
      <c r="K15" s="223"/>
      <c r="L15" s="223"/>
    </row>
    <row r="16" spans="1:13" ht="6" customHeight="1"/>
    <row r="17" spans="4:12" ht="24" customHeight="1">
      <c r="D17" s="222" t="str">
        <f>IF(ISBLANK(Input!I6),"",Input!I6)</f>
        <v/>
      </c>
      <c r="E17" s="222"/>
      <c r="F17" s="222"/>
      <c r="G17" s="222"/>
      <c r="H17" s="222"/>
      <c r="I17" s="222"/>
      <c r="J17" s="222"/>
      <c r="K17" s="222"/>
    </row>
    <row r="18" spans="4:12"/>
    <row r="19" spans="4:12" ht="240" customHeight="1">
      <c r="D19" s="216"/>
      <c r="E19" s="216"/>
      <c r="F19" s="216"/>
      <c r="G19" s="216"/>
      <c r="H19" s="216"/>
      <c r="I19" s="216"/>
    </row>
    <row r="20" spans="4:12"/>
    <row r="21" spans="4:12"/>
    <row r="22" spans="4:12" ht="12.75" customHeight="1">
      <c r="D22" s="147" t="str" cm="1">
        <f t="array" ref="D22">INDEX(LEN_REPORT[],5,MATCH(CONDITIONS!$E$3,Len_DB!$C$8:$H$8,0)+1)</f>
        <v>Designer</v>
      </c>
      <c r="E22" s="147"/>
      <c r="F22" s="147"/>
      <c r="I22" s="147" t="str" cm="1">
        <f t="array" ref="I22">INDEX(LEN_REPORT[],8,MATCH(CONDITIONS!$E$3,Len_DB!$C$8:$H$8,0)+1)</f>
        <v>Province</v>
      </c>
      <c r="J22" s="147"/>
      <c r="K22" s="147"/>
    </row>
    <row r="23" spans="4:12" ht="4.1500000000000004" customHeight="1">
      <c r="D23" s="147"/>
      <c r="E23" s="147"/>
      <c r="F23" s="147"/>
      <c r="G23" s="147"/>
    </row>
    <row r="24" spans="4:12">
      <c r="D24" s="224" t="str">
        <f>IF(ISBLANK(Input!C9),"",Input!C9)</f>
        <v/>
      </c>
      <c r="E24" s="224"/>
      <c r="F24" s="224"/>
      <c r="G24" s="224"/>
      <c r="I24" s="224" t="str">
        <f>IF(ISBLANK(Input!C7),"",Input!C7)</f>
        <v/>
      </c>
      <c r="J24" s="224"/>
      <c r="K24" s="224"/>
      <c r="L24" s="224"/>
    </row>
    <row r="25" spans="4:12" ht="4.1500000000000004" customHeight="1">
      <c r="D25" s="147"/>
      <c r="E25" s="147"/>
      <c r="F25" s="147"/>
      <c r="G25" s="147"/>
    </row>
    <row r="26" spans="4:12" ht="12.75" customHeight="1">
      <c r="D26" s="147" t="str" cm="1">
        <f t="array" ref="D26">INDEX(LEN_REPORT[],6,MATCH(CONDITIONS!$E$3,Len_DB!$C$8:$H$8,0)+1)</f>
        <v>Client</v>
      </c>
      <c r="E26" s="147"/>
      <c r="F26" s="147"/>
      <c r="I26" s="147" t="str" cm="1">
        <f t="array" ref="I26">INDEX(LEN_REPORT[],7,MATCH(CONDITIONS!$E$3,Len_DB!$C$8:$H$8,0)+1)</f>
        <v>Municipality</v>
      </c>
    </row>
    <row r="27" spans="4:12" ht="4.1500000000000004" customHeight="1"/>
    <row r="28" spans="4:12">
      <c r="D28" s="224" t="str">
        <f>IF(ISBLANK(Input!C10),"",Input!C10)</f>
        <v/>
      </c>
      <c r="E28" s="224"/>
      <c r="F28" s="224"/>
      <c r="G28" s="224"/>
      <c r="I28" s="224" t="str">
        <f>IF(ISBLANK(Input!C6),"",Input!C6)</f>
        <v/>
      </c>
      <c r="J28" s="224"/>
      <c r="K28" s="224"/>
      <c r="L28" s="224"/>
    </row>
    <row r="29" spans="4:12" ht="12.75" customHeight="1"/>
    <row r="30" spans="4:12" ht="12.75" customHeight="1"/>
    <row r="31" spans="4:12" ht="12.75" customHeight="1"/>
    <row r="32" spans="4:12" ht="12.75" customHeight="1"/>
    <row r="33" spans="1:13" ht="160.9" customHeight="1">
      <c r="A33" s="143"/>
      <c r="B33" s="143"/>
      <c r="C33" s="143"/>
      <c r="D33" s="148"/>
      <c r="E33" s="143"/>
      <c r="F33" s="143"/>
      <c r="G33" s="143"/>
      <c r="H33" s="143"/>
      <c r="I33" s="143"/>
      <c r="J33" s="143"/>
      <c r="K33" s="143"/>
      <c r="L33" s="143"/>
      <c r="M33" s="143"/>
    </row>
    <row r="34" spans="1:13" ht="45" customHeight="1">
      <c r="B34" s="149"/>
      <c r="C34" s="149"/>
      <c r="D34" s="149"/>
      <c r="E34" s="149"/>
      <c r="F34" s="149"/>
      <c r="G34" s="149"/>
      <c r="H34" s="149"/>
      <c r="I34" s="149"/>
      <c r="J34" s="149"/>
      <c r="K34" s="149"/>
      <c r="L34" s="149"/>
    </row>
    <row r="35" spans="1:13" ht="15">
      <c r="B35" s="177" t="str" cm="1">
        <f t="array" ref="B35">INDEX(LEN_REPORT[],9,MATCH(CONDITIONS!$E$3,Len_DB!$C$8:$H$8,0)+1)</f>
        <v>Geometry</v>
      </c>
      <c r="C35" s="177"/>
      <c r="D35" s="177"/>
      <c r="E35" s="177"/>
      <c r="F35" s="177"/>
      <c r="G35" s="177"/>
      <c r="H35" s="177"/>
      <c r="I35" s="177"/>
      <c r="J35" s="177"/>
      <c r="K35" s="177"/>
      <c r="L35" s="177"/>
    </row>
    <row r="36" spans="1:13" s="117" customFormat="1" ht="3" customHeight="1"/>
    <row r="37" spans="1:13" ht="134.44999999999999" customHeight="1">
      <c r="B37" s="150" t="str">
        <f>I131 &amp; " = " &amp; K131 &amp; " " &amp; L131</f>
        <v>ℓ/4 = 1500 mm</v>
      </c>
      <c r="C37" s="216"/>
      <c r="D37" s="216"/>
      <c r="E37" s="216"/>
      <c r="F37" s="216"/>
      <c r="G37" s="216"/>
      <c r="H37" s="216"/>
      <c r="I37" s="216"/>
      <c r="J37" s="216"/>
      <c r="K37" s="150" t="str">
        <f>C131 &amp; " = " &amp; E131 &amp; " " &amp; F131</f>
        <v>ℓ/2 = 3000 mm</v>
      </c>
      <c r="L37" s="149"/>
    </row>
    <row r="38" spans="1:13" s="117" customFormat="1" ht="3" customHeight="1"/>
    <row r="39" spans="1:13" ht="15" customHeight="1">
      <c r="B39" s="178" t="str" cm="1">
        <f t="array" ref="B39">INDEX(LEN_REPORT[],11,MATCH(CONDITIONS!$E$3,Len_DB!$C$8:$H$8,0)+1)</f>
        <v>At mid span</v>
      </c>
      <c r="C39" s="178"/>
      <c r="D39" s="178"/>
      <c r="E39" s="178"/>
      <c r="F39" s="178"/>
      <c r="G39" s="117"/>
      <c r="H39" s="178" t="str" cm="1">
        <f t="array" ref="H39">INDEX(LEN_REPORT[],10,MATCH(CONDITIONS!$E$3,Len_DB!$C$8:$H$8,0)+1)</f>
        <v>At support</v>
      </c>
      <c r="I39" s="178"/>
      <c r="J39" s="178"/>
      <c r="K39" s="178"/>
      <c r="L39" s="178"/>
    </row>
    <row r="40" spans="1:13" ht="6" customHeight="1"/>
    <row r="41" spans="1:13">
      <c r="B41" s="249" t="str" cm="1">
        <f t="array" ref="B41">INDEX(LEN_REPORT[],12,MATCH(CONDITIONS!$E$3,Len_DB!$C$8:$H$8,0)+1)</f>
        <v>Panel type</v>
      </c>
      <c r="C41" s="251" t="str">
        <f>Input!C28</f>
        <v xml:space="preserve">80mm-3s-   30 20 30   </v>
      </c>
      <c r="D41" s="251"/>
      <c r="E41" s="251"/>
      <c r="F41" s="251"/>
      <c r="H41" s="249" t="str" cm="1">
        <f t="array" ref="H41">INDEX(LEN_REPORT[],12,MATCH(CONDITIONS!$E$3,Len_DB!$C$8:$H$8,0)+1)</f>
        <v>Panel type</v>
      </c>
      <c r="I41" s="251" t="str">
        <f>Input!C28</f>
        <v xml:space="preserve">80mm-3s-   30 20 30   </v>
      </c>
      <c r="J41" s="251"/>
      <c r="K41" s="251"/>
      <c r="L41" s="251"/>
    </row>
    <row r="42" spans="1:13" ht="6" customHeight="1"/>
    <row r="43" spans="1:13" ht="12.75" customHeight="1">
      <c r="B43" s="249" t="str" cm="1">
        <f t="array" ref="B43">INDEX(LEN_REPORT[],15,MATCH(CONDITIONS!$E$3,Len_DB!$C$8:$H$8,0)+1)</f>
        <v>Number of layers</v>
      </c>
      <c r="C43" s="125"/>
      <c r="D43" s="125"/>
      <c r="E43" s="252">
        <f>INDEX(CLT[],MATCH(C41,CLT[Code],0),3)</f>
        <v>3</v>
      </c>
      <c r="G43" s="249"/>
      <c r="H43" s="249" t="str" cm="1">
        <f t="array" ref="H43">INDEX(LEN_REPORT[],15,MATCH(CONDITIONS!$E$3,Len_DB!$C$8:$H$8,0)+1)</f>
        <v>Number of layers</v>
      </c>
      <c r="I43" s="125"/>
      <c r="J43" s="125"/>
      <c r="K43" s="252">
        <f>INDEX(CLT[],MATCH(I41,CLT[Code],0),3)</f>
        <v>3</v>
      </c>
    </row>
    <row r="44" spans="1:13" ht="6" customHeight="1">
      <c r="B44" s="249"/>
      <c r="C44" s="249"/>
      <c r="D44" s="249"/>
      <c r="G44" s="249"/>
      <c r="H44" s="249"/>
      <c r="I44" s="249"/>
      <c r="J44" s="249"/>
    </row>
    <row r="45" spans="1:13" ht="12.75" customHeight="1">
      <c r="B45" s="249" t="str" cm="1">
        <f t="array" ref="B45">INDEX(LEN_REPORT[],16,MATCH(CONDITIONS!$E$3,Len_DB!$C$8:$H$8,0)+1)</f>
        <v>Effective inertia</v>
      </c>
      <c r="C45" s="179" t="s">
        <v>595</v>
      </c>
      <c r="D45" s="179"/>
      <c r="E45" s="253">
        <f>MAX(J_MidSpan[#Totals])</f>
        <v>21437352.996954829</v>
      </c>
      <c r="F45" s="254" t="s">
        <v>596</v>
      </c>
      <c r="G45" s="249"/>
      <c r="H45" s="249" t="str" cm="1">
        <f t="array" ref="H45">INDEX(LEN_REPORT[],16,MATCH(CONDITIONS!$E$3,Len_DB!$C$8:$H$8,0)+1)</f>
        <v>Effective inertia</v>
      </c>
      <c r="I45" s="179" t="s">
        <v>597</v>
      </c>
      <c r="J45" s="179"/>
      <c r="K45" s="253">
        <f>MAX(J_Support[#Totals])</f>
        <v>9240000</v>
      </c>
      <c r="L45" s="254" t="s">
        <v>596</v>
      </c>
    </row>
    <row r="46" spans="1:13" ht="12.75" customHeight="1">
      <c r="B46" s="249" t="str" cm="1">
        <f t="array" ref="B46">INDEX(LEN_REPORT[],17,MATCH(CONDITIONS!$E$3,Len_DB!$C$8:$H$8,0)+1)</f>
        <v>Effective area</v>
      </c>
      <c r="C46" s="179" t="s">
        <v>598</v>
      </c>
      <c r="D46" s="179"/>
      <c r="E46" s="255">
        <f>MAX(A_MidSpan[#Totals])</f>
        <v>30624.789995649757</v>
      </c>
      <c r="F46" s="254" t="s">
        <v>599</v>
      </c>
      <c r="G46" s="249"/>
      <c r="H46" s="249" t="str" cm="1">
        <f t="array" ref="H46">INDEX(LEN_REPORT[],17,MATCH(CONDITIONS!$E$3,Len_DB!$C$8:$H$8,0)+1)</f>
        <v>Effective area</v>
      </c>
      <c r="I46" s="179" t="s">
        <v>600</v>
      </c>
      <c r="J46" s="179"/>
      <c r="K46" s="252">
        <f>MAX(A_Support[#Totals])</f>
        <v>13200</v>
      </c>
      <c r="L46" s="254" t="s">
        <v>599</v>
      </c>
    </row>
    <row r="47" spans="1:13" ht="9.6" customHeight="1">
      <c r="B47" s="249"/>
      <c r="C47" s="249"/>
      <c r="D47" s="249"/>
      <c r="E47" s="249"/>
      <c r="F47" s="249"/>
      <c r="G47" s="249"/>
      <c r="H47" s="249"/>
      <c r="I47" s="249"/>
      <c r="J47" s="249"/>
      <c r="K47" s="249"/>
    </row>
    <row r="48" spans="1:13" ht="15">
      <c r="B48" s="177" t="str" cm="1">
        <f t="array" ref="B48">INDEX(LEN_REPORT[],18,MATCH(CONDITIONS!$E$3,Len_DB!$C$8:$H$8,0)+1)</f>
        <v>Design loads on slab surface</v>
      </c>
      <c r="C48" s="177"/>
      <c r="D48" s="177"/>
      <c r="E48" s="177"/>
      <c r="F48" s="177"/>
      <c r="G48" s="177"/>
      <c r="H48" s="177"/>
      <c r="I48" s="177"/>
      <c r="J48" s="177"/>
      <c r="K48" s="177"/>
      <c r="L48" s="177"/>
    </row>
    <row r="49" spans="2:12" ht="6" customHeight="1">
      <c r="B49" s="249"/>
      <c r="C49" s="249"/>
      <c r="D49" s="249"/>
      <c r="E49" s="249"/>
      <c r="F49" s="249"/>
      <c r="G49" s="249"/>
      <c r="H49" s="249"/>
      <c r="I49" s="249"/>
      <c r="J49" s="249"/>
      <c r="K49" s="249"/>
      <c r="L49" s="249"/>
    </row>
    <row r="50" spans="2:12" ht="12.75" customHeight="1">
      <c r="B50" s="249" t="str" cm="1">
        <f t="array" ref="B50">INDEX(LEN_REPORT[],19,MATCH(CONDITIONS!$E$3,Len_DB!$C$8:$H$8,0)+1)</f>
        <v>Permanent loads</v>
      </c>
      <c r="C50" s="179" t="s">
        <v>551</v>
      </c>
      <c r="D50" s="179"/>
      <c r="E50" s="250">
        <f>Input!$E$14</f>
        <v>3.15</v>
      </c>
      <c r="F50" s="254" t="s">
        <v>552</v>
      </c>
      <c r="G50" s="249"/>
      <c r="H50" s="249" t="str" cm="1">
        <f t="array" ref="H50">INDEX(LEN_REPORT[],22,MATCH(CONDITIONS!$E$3,Len_DB!$C$8:$H$8,0)+1)</f>
        <v>Load duration</v>
      </c>
      <c r="I50" s="251" t="str">
        <f>Input!$I$14</f>
        <v>Medium term</v>
      </c>
      <c r="J50" s="251"/>
      <c r="K50" s="251"/>
      <c r="L50" s="251"/>
    </row>
    <row r="51" spans="2:12" ht="12.75" customHeight="1">
      <c r="B51" s="249" t="str" cm="1">
        <f t="array" ref="B51">INDEX(LEN_REPORT[],20,MATCH(CONDITIONS!$E$3,Len_DB!$C$8:$H$8,0)+1)</f>
        <v>Accidental loads</v>
      </c>
      <c r="C51" s="179" t="s">
        <v>553</v>
      </c>
      <c r="D51" s="179"/>
      <c r="E51" s="250">
        <f>Input!$E$15</f>
        <v>2</v>
      </c>
      <c r="F51" s="254" t="s">
        <v>552</v>
      </c>
      <c r="G51" s="249"/>
    </row>
    <row r="52" spans="2:12" ht="12.75" customHeight="1">
      <c r="B52" s="249" t="str" cm="1">
        <f t="array" ref="B52">INDEX(LEN_REPORT[],21,MATCH(CONDITIONS!$E$3,Len_DB!$C$8:$H$8,0)+1)</f>
        <v>Partial factor</v>
      </c>
      <c r="C52" s="179" t="s">
        <v>554</v>
      </c>
      <c r="D52" s="179"/>
      <c r="E52" s="249">
        <f>Input!$E$16</f>
        <v>0.3</v>
      </c>
      <c r="F52" s="254" t="s">
        <v>552</v>
      </c>
      <c r="G52" s="249"/>
      <c r="H52" s="249" t="str" cm="1">
        <f t="array" ref="H52">INDEX(LEN_REPORT[],23,MATCH(CONDITIONS!$E$3,Len_DB!$C$8:$H$8,0)+1)</f>
        <v>Service class</v>
      </c>
      <c r="I52" s="251">
        <f>Input!$I$15</f>
        <v>1</v>
      </c>
      <c r="J52" s="251"/>
      <c r="K52" s="251"/>
      <c r="L52" s="251"/>
    </row>
    <row r="53" spans="2:12" ht="9.6" customHeight="1">
      <c r="B53" s="249"/>
      <c r="C53" s="249"/>
      <c r="D53" s="249"/>
      <c r="E53" s="249"/>
      <c r="F53" s="249"/>
      <c r="G53" s="249"/>
      <c r="H53" s="249"/>
      <c r="I53" s="249"/>
      <c r="J53" s="249"/>
      <c r="K53" s="249"/>
    </row>
    <row r="54" spans="2:12" ht="150" customHeight="1">
      <c r="B54" s="216"/>
      <c r="C54" s="216"/>
      <c r="D54" s="216"/>
      <c r="E54" s="216"/>
      <c r="F54" s="216"/>
      <c r="G54" s="216"/>
      <c r="H54" s="216"/>
      <c r="I54" s="216"/>
      <c r="J54" s="216"/>
      <c r="K54" s="216"/>
      <c r="L54" s="216"/>
    </row>
    <row r="55" spans="2:12" ht="9" customHeight="1">
      <c r="B55" s="249"/>
      <c r="C55" s="249"/>
      <c r="D55" s="249"/>
      <c r="E55" s="249"/>
      <c r="F55" s="249"/>
      <c r="G55" s="249"/>
      <c r="H55" s="249"/>
      <c r="I55" s="249"/>
      <c r="J55" s="249"/>
      <c r="K55" s="249"/>
      <c r="L55" s="249"/>
    </row>
    <row r="56" spans="2:12" ht="15">
      <c r="B56" s="177" t="str" cm="1">
        <f t="array" ref="B56">INDEX(LEN_REPORT[],24,MATCH(CONDITIONS!$E$3,Len_DB!$C$8:$H$8,0)+1)</f>
        <v>Design loads on the beam</v>
      </c>
      <c r="C56" s="177"/>
      <c r="D56" s="177"/>
      <c r="E56" s="177"/>
      <c r="F56" s="177"/>
      <c r="G56" s="177"/>
      <c r="H56" s="177"/>
      <c r="I56" s="177"/>
      <c r="J56" s="177"/>
      <c r="K56" s="177"/>
      <c r="L56" s="177"/>
    </row>
    <row r="57" spans="2:12" ht="6" customHeight="1">
      <c r="B57" s="249"/>
      <c r="C57" s="249"/>
      <c r="D57" s="249"/>
      <c r="E57" s="249"/>
      <c r="F57" s="249"/>
      <c r="G57" s="249"/>
      <c r="H57" s="249"/>
      <c r="I57" s="249"/>
      <c r="J57" s="249"/>
      <c r="K57" s="249"/>
      <c r="L57" s="249"/>
    </row>
    <row r="58" spans="2:12" ht="12.75" customHeight="1">
      <c r="B58" s="249" t="str" cm="1">
        <f t="array" ref="B58">INDEX(LEN_REPORT[],26,MATCH(CONDITIONS!$E$3,Len_DB!$C$8:$H$8,0)+1)</f>
        <v>Influence span</v>
      </c>
      <c r="C58" s="179" t="s">
        <v>601</v>
      </c>
      <c r="D58" s="179"/>
      <c r="E58" s="250">
        <f>Input!$E$30/1000</f>
        <v>0.6</v>
      </c>
      <c r="F58" s="254" t="s">
        <v>588</v>
      </c>
      <c r="G58" s="249"/>
      <c r="L58" s="249"/>
    </row>
    <row r="59" spans="2:12" ht="12.75" customHeight="1">
      <c r="B59" s="249" t="str" cm="1">
        <f t="array" ref="B59">INDEX(LEN_REPORT[],19,MATCH(CONDITIONS!$E$3,Len_DB!$C$8:$H$8,0)+1)</f>
        <v>Permanent loads</v>
      </c>
      <c r="C59" s="179" t="s">
        <v>602</v>
      </c>
      <c r="D59" s="179"/>
      <c r="E59" s="250">
        <f>E50*E58</f>
        <v>1.89</v>
      </c>
      <c r="F59" s="254" t="s">
        <v>552</v>
      </c>
      <c r="G59" s="249"/>
      <c r="H59" s="249"/>
      <c r="I59" s="249"/>
      <c r="J59" s="249"/>
      <c r="K59" s="249"/>
      <c r="L59" s="249"/>
    </row>
    <row r="60" spans="2:12" ht="12.75" customHeight="1">
      <c r="B60" s="249" t="str" cm="1">
        <f t="array" ref="B60">INDEX(LEN_REPORT[],20,MATCH(CONDITIONS!$E$3,Len_DB!$C$8:$H$8,0)+1)</f>
        <v>Accidental loads</v>
      </c>
      <c r="C60" s="179" t="s">
        <v>553</v>
      </c>
      <c r="D60" s="179"/>
      <c r="E60" s="250">
        <f>E51*E58</f>
        <v>1.2</v>
      </c>
      <c r="F60" s="254" t="s">
        <v>552</v>
      </c>
      <c r="G60" s="249"/>
      <c r="H60" s="249"/>
      <c r="I60" s="249"/>
      <c r="J60" s="249"/>
      <c r="K60" s="249"/>
      <c r="L60" s="249"/>
    </row>
    <row r="61" spans="2:12" ht="9" customHeight="1"/>
    <row r="62" spans="2:12" ht="150" customHeight="1">
      <c r="B62" s="216"/>
      <c r="C62" s="216"/>
      <c r="D62" s="216"/>
      <c r="E62" s="216"/>
      <c r="F62" s="216"/>
      <c r="G62" s="216"/>
      <c r="H62" s="216"/>
      <c r="I62" s="216"/>
      <c r="J62" s="216"/>
      <c r="K62" s="216"/>
      <c r="L62" s="216"/>
    </row>
    <row r="63" spans="2:12"/>
    <row r="64" spans="2:12" ht="45" customHeight="1"/>
    <row r="65" spans="2:12" ht="15">
      <c r="B65" s="177" t="str" cm="1">
        <f t="array" ref="B65">INDEX(LEN_REPORT[],27,MATCH(CONDITIONS!$E$3,Len_DB!$C$8:$H$8,0)+1)</f>
        <v>(1) Slab</v>
      </c>
      <c r="C65" s="177"/>
      <c r="D65" s="177"/>
      <c r="E65" s="177"/>
      <c r="F65" s="177"/>
      <c r="G65" s="177"/>
      <c r="H65" s="177"/>
      <c r="I65" s="177"/>
      <c r="J65" s="177"/>
      <c r="K65" s="177"/>
      <c r="L65" s="177"/>
    </row>
    <row r="66" spans="2:12" ht="6" customHeight="1"/>
    <row r="67" spans="2:12" ht="16.5">
      <c r="B67" s="249" t="str" cm="1">
        <f t="array" ref="B67">INDEX(LEN_REPORT[],28,MATCH(CONDITIONS!$E$3,Len_DB!$C$8:$H$8,0)+1)</f>
        <v>Wood type</v>
      </c>
      <c r="C67" s="251" t="str">
        <f>Input!$C$22</f>
        <v>C24 - EN338:2016</v>
      </c>
      <c r="D67" s="251"/>
      <c r="E67" s="251"/>
      <c r="H67" s="151" t="s">
        <v>603</v>
      </c>
      <c r="I67" s="256">
        <f>INDEX(kmod[],MATCH($I$52,kmod[CS],0),MATCH($I$50,kmod[#Headers],0))</f>
        <v>0.8</v>
      </c>
      <c r="J67" s="256"/>
      <c r="K67" s="256"/>
    </row>
    <row r="68" spans="2:12" ht="16.5">
      <c r="B68" s="249"/>
      <c r="C68" s="254"/>
      <c r="D68" s="254"/>
      <c r="E68" s="254"/>
      <c r="H68" s="151" t="s">
        <v>604</v>
      </c>
      <c r="I68" s="256">
        <f>INDEX(kmod[],MATCH($I$52,kmod[CS],0),2)</f>
        <v>0.6</v>
      </c>
      <c r="J68" s="256"/>
      <c r="K68" s="256"/>
    </row>
    <row r="69" spans="2:12" ht="16.5">
      <c r="B69" s="249"/>
      <c r="C69" s="254"/>
      <c r="D69" s="254"/>
      <c r="E69" s="254"/>
      <c r="H69" s="151" t="s">
        <v>605</v>
      </c>
      <c r="I69" s="256">
        <v>0.67</v>
      </c>
      <c r="J69" s="256"/>
      <c r="K69" s="256"/>
    </row>
    <row r="70" spans="2:12" ht="9" customHeight="1"/>
    <row r="71" spans="2:12" ht="15.75" customHeight="1" thickBot="1">
      <c r="B71" s="226" t="str" cm="1">
        <f t="array" ref="B71">INDEX(LEN_REPORT[],29,MATCH(CONDITIONS!$E$3,Len_DB!$C$8:$H$8,0)+1)</f>
        <v>Characteristics</v>
      </c>
      <c r="C71" s="226"/>
      <c r="D71" s="226"/>
      <c r="I71" s="152" t="s">
        <v>606</v>
      </c>
      <c r="J71" s="152" t="s">
        <v>578</v>
      </c>
      <c r="K71" s="153"/>
    </row>
    <row r="72" spans="2:12" ht="19.5" thickTop="1">
      <c r="B72" s="154" t="s">
        <v>607</v>
      </c>
      <c r="C72" s="257">
        <f>INDEX(TimberType[],MATCH(Input!$C$22,TimberType[Classe],0),MATCH(B72,TimberType[#Headers],0))</f>
        <v>24</v>
      </c>
      <c r="D72" s="258" t="s">
        <v>608</v>
      </c>
      <c r="H72" s="154" t="s">
        <v>609</v>
      </c>
      <c r="I72" s="257">
        <f>C72*(I67)/$K$151</f>
        <v>15.360000000000003</v>
      </c>
      <c r="J72" s="257">
        <f>C72*I68/$K$151</f>
        <v>11.52</v>
      </c>
      <c r="K72" s="257" t="s">
        <v>608</v>
      </c>
    </row>
    <row r="73" spans="2:12" ht="18.75">
      <c r="B73" s="155" t="s">
        <v>610</v>
      </c>
      <c r="C73" s="259">
        <f>INDEX(TimberType[],MATCH(Input!$C$22,TimberType[Classe],0),MATCH(B73,TimberType[#Headers],0))</f>
        <v>14.5</v>
      </c>
      <c r="D73" s="260" t="s">
        <v>608</v>
      </c>
      <c r="H73" s="155" t="s">
        <v>611</v>
      </c>
      <c r="I73" s="259">
        <f>C73*I67/$K$151</f>
        <v>9.2800000000000011</v>
      </c>
      <c r="J73" s="259">
        <f>C73*I68/$K$151</f>
        <v>6.9599999999999991</v>
      </c>
      <c r="K73" s="259" t="s">
        <v>608</v>
      </c>
    </row>
    <row r="74" spans="2:12" ht="18.75">
      <c r="B74" s="155" t="s">
        <v>612</v>
      </c>
      <c r="C74" s="259">
        <f>INDEX(TimberType[],MATCH(Input!$C$22,TimberType[Classe],0),MATCH(B74,TimberType[#Headers],0))</f>
        <v>0.4</v>
      </c>
      <c r="D74" s="260" t="s">
        <v>608</v>
      </c>
      <c r="H74" s="155" t="s">
        <v>613</v>
      </c>
      <c r="I74" s="259">
        <f>C74*I67/$K$151</f>
        <v>0.25600000000000006</v>
      </c>
      <c r="J74" s="259">
        <f>C74*I68/$K$151</f>
        <v>0.192</v>
      </c>
      <c r="K74" s="259" t="s">
        <v>608</v>
      </c>
    </row>
    <row r="75" spans="2:12" ht="18.75">
      <c r="B75" s="155" t="s">
        <v>614</v>
      </c>
      <c r="C75" s="259">
        <f>INDEX(TimberType[],MATCH(Input!$C$22,TimberType[Classe],0),MATCH(B75,TimberType[#Headers],0))</f>
        <v>21</v>
      </c>
      <c r="D75" s="260" t="s">
        <v>608</v>
      </c>
      <c r="H75" s="155" t="s">
        <v>615</v>
      </c>
      <c r="I75" s="259">
        <f>C75*I67/$K$151</f>
        <v>13.440000000000001</v>
      </c>
      <c r="J75" s="259">
        <f>C75*I68/$K$151</f>
        <v>10.08</v>
      </c>
      <c r="K75" s="259" t="s">
        <v>608</v>
      </c>
    </row>
    <row r="76" spans="2:12" ht="18.75">
      <c r="B76" s="155" t="s">
        <v>616</v>
      </c>
      <c r="C76" s="259">
        <f>INDEX(TimberType[],MATCH(Input!$C$22,TimberType[Classe],0),MATCH(B76,TimberType[#Headers],0))</f>
        <v>2.5</v>
      </c>
      <c r="D76" s="260" t="s">
        <v>608</v>
      </c>
      <c r="H76" s="155" t="s">
        <v>617</v>
      </c>
      <c r="I76" s="259">
        <f>C76*I67/$K$151</f>
        <v>1.6</v>
      </c>
      <c r="J76" s="259">
        <f>C76*I68/$K$151</f>
        <v>1.2</v>
      </c>
      <c r="K76" s="259" t="s">
        <v>608</v>
      </c>
    </row>
    <row r="77" spans="2:12" ht="18.75">
      <c r="B77" s="155" t="s">
        <v>618</v>
      </c>
      <c r="C77" s="259">
        <f>INDEX(TimberType[],MATCH(Input!$C$22,TimberType[Classe],0),MATCH(B77,TimberType[#Headers],0))</f>
        <v>4</v>
      </c>
      <c r="D77" s="260" t="s">
        <v>608</v>
      </c>
      <c r="H77" s="155" t="s">
        <v>619</v>
      </c>
      <c r="I77" s="259">
        <f>C77*I67/$K$151*I69</f>
        <v>1.7152000000000001</v>
      </c>
      <c r="J77" s="259">
        <f>C77*I68/$K$151*I69</f>
        <v>1.2864</v>
      </c>
      <c r="K77" s="259" t="s">
        <v>608</v>
      </c>
    </row>
    <row r="78" spans="2:12" ht="17.25" thickBot="1">
      <c r="B78" s="155" t="s">
        <v>620</v>
      </c>
      <c r="C78" s="259">
        <f>Input!$E$31</f>
        <v>1.2</v>
      </c>
      <c r="D78" s="260" t="s">
        <v>608</v>
      </c>
      <c r="H78" s="156" t="s">
        <v>621</v>
      </c>
      <c r="I78" s="261">
        <f>C78*I67/$K$152</f>
        <v>0.76800000000000002</v>
      </c>
      <c r="J78" s="261">
        <f>C78*I68/$K$152</f>
        <v>0.57599999999999996</v>
      </c>
      <c r="K78" s="261" t="s">
        <v>608</v>
      </c>
    </row>
    <row r="79" spans="2:12" ht="9" customHeight="1" thickTop="1">
      <c r="B79" s="157"/>
      <c r="C79" s="146"/>
      <c r="D79" s="254"/>
    </row>
    <row r="80" spans="2:12" ht="18.75">
      <c r="B80" s="155" t="s">
        <v>622</v>
      </c>
      <c r="C80" s="260">
        <f>INDEX(TimberType[],MATCH(Input!$C$22,TimberType[Classe],0),MATCH(B80,TimberType[#Headers],0))</f>
        <v>11000</v>
      </c>
      <c r="D80" s="260" t="s">
        <v>608</v>
      </c>
    </row>
    <row r="81" spans="2:12" ht="18.75">
      <c r="B81" s="155" t="s">
        <v>623</v>
      </c>
      <c r="C81" s="260">
        <f>INDEX(TimberType[],MATCH(Input!$C$22,TimberType[Classe],0),MATCH(B81,TimberType[#Headers],0))</f>
        <v>7400</v>
      </c>
      <c r="D81" s="260" t="s">
        <v>608</v>
      </c>
    </row>
    <row r="82" spans="2:12" ht="18.75">
      <c r="B82" s="155" t="s">
        <v>624</v>
      </c>
      <c r="C82" s="260">
        <f>INDEX(TimberType[],MATCH(Input!$C$22,TimberType[Classe],0),MATCH(B82,TimberType[#Headers],0))</f>
        <v>690</v>
      </c>
      <c r="D82" s="260" t="s">
        <v>608</v>
      </c>
    </row>
    <row r="83" spans="2:12" ht="18.75">
      <c r="B83" s="155" t="s">
        <v>625</v>
      </c>
      <c r="C83" s="260">
        <f>INDEX(TimberType[],MATCH(Input!$C$22,TimberType[Classe],0),MATCH(B83,TimberType[#Headers],0))</f>
        <v>0</v>
      </c>
      <c r="D83" s="260" t="s">
        <v>608</v>
      </c>
    </row>
    <row r="84" spans="2:12" ht="9" customHeight="1">
      <c r="B84" s="157"/>
      <c r="C84" s="146"/>
      <c r="D84" s="249"/>
    </row>
    <row r="85" spans="2:12" ht="19.5" thickBot="1">
      <c r="B85" s="158" t="s">
        <v>626</v>
      </c>
      <c r="C85" s="262">
        <f>INDEX(TimberType[],MATCH(Input!$C$22,TimberType[Classe],0),MATCH(B85,TimberType[#Headers],0))</f>
        <v>350</v>
      </c>
      <c r="D85" s="263" t="s">
        <v>627</v>
      </c>
    </row>
    <row r="86" spans="2:12" ht="9" customHeight="1" thickTop="1"/>
    <row r="87" spans="2:12" ht="15">
      <c r="B87" s="177" t="str" cm="1">
        <f t="array" ref="B87">INDEX(LEN_REPORT[],30,MATCH(CONDITIONS!$E$3,Len_DB!$C$8:$H$8,0)+1)</f>
        <v>(2) Rib beam</v>
      </c>
      <c r="C87" s="177"/>
      <c r="D87" s="177"/>
      <c r="E87" s="177"/>
      <c r="F87" s="177"/>
      <c r="G87" s="177"/>
      <c r="H87" s="177"/>
      <c r="I87" s="177"/>
      <c r="J87" s="177"/>
      <c r="K87" s="177"/>
      <c r="L87" s="177"/>
    </row>
    <row r="88" spans="2:12"/>
    <row r="89" spans="2:12" ht="30" customHeight="1">
      <c r="B89" s="249" t="str" cm="1">
        <f t="array" ref="B89">INDEX(LEN_REPORT[],28,MATCH(CONDITIONS!$E$3,Len_DB!$C$8:$H$8,0)+1)</f>
        <v>Wood type</v>
      </c>
      <c r="C89" s="264" t="str">
        <f>Input!$I$22</f>
        <v>GL24h - UNI EN14080:2013</v>
      </c>
      <c r="D89" s="264"/>
      <c r="E89" s="264"/>
      <c r="H89" s="151" t="s">
        <v>603</v>
      </c>
      <c r="I89" s="256">
        <f>INDEX(kmod[],MATCH($I$52,kmod[CS],0),MATCH($I$50,kmod[#Headers],0))</f>
        <v>0.8</v>
      </c>
      <c r="J89" s="265"/>
      <c r="K89" s="265"/>
    </row>
    <row r="90" spans="2:12" ht="16.5">
      <c r="B90" s="249"/>
      <c r="C90" s="254"/>
      <c r="D90" s="254"/>
      <c r="E90" s="254"/>
      <c r="H90" s="151" t="s">
        <v>604</v>
      </c>
      <c r="I90" s="256">
        <f>INDEX(kmod[],MATCH($I$52,kmod[CS],0),2)</f>
        <v>0.6</v>
      </c>
      <c r="J90" s="265"/>
      <c r="K90" s="265"/>
    </row>
    <row r="91" spans="2:12" ht="16.5">
      <c r="B91" s="249"/>
      <c r="C91" s="254"/>
      <c r="D91" s="254"/>
      <c r="E91" s="254"/>
      <c r="H91" s="151" t="s">
        <v>605</v>
      </c>
      <c r="I91" s="256">
        <v>0.67</v>
      </c>
      <c r="J91" s="265"/>
      <c r="K91" s="265"/>
    </row>
    <row r="92" spans="2:12"/>
    <row r="93" spans="2:12" ht="15" thickBot="1">
      <c r="B93" s="226" t="str" cm="1">
        <f t="array" ref="B93">INDEX(LEN_REPORT[],29,MATCH(CONDITIONS!$E$3,Len_DB!$C$8:$H$8,0)+1)</f>
        <v>Characteristics</v>
      </c>
      <c r="C93" s="226"/>
      <c r="D93" s="226"/>
      <c r="I93" s="152" t="s">
        <v>606</v>
      </c>
      <c r="J93" s="152" t="s">
        <v>578</v>
      </c>
    </row>
    <row r="94" spans="2:12" ht="19.5" thickTop="1">
      <c r="B94" s="154" t="s">
        <v>628</v>
      </c>
      <c r="C94" s="257">
        <f>INDEX(TimberType[],MATCH(Input!$I$22,TimberType[Classe],0),MATCH(B94,TimberType[#Headers],0))</f>
        <v>24</v>
      </c>
      <c r="D94" s="258" t="s">
        <v>608</v>
      </c>
      <c r="H94" s="154" t="s">
        <v>609</v>
      </c>
      <c r="I94" s="257">
        <f>C94*I89/$K$152</f>
        <v>15.360000000000003</v>
      </c>
      <c r="J94" s="257">
        <f>C94*I90/$K$151</f>
        <v>11.52</v>
      </c>
      <c r="K94" s="257" t="s">
        <v>608</v>
      </c>
    </row>
    <row r="95" spans="2:12" ht="18.75">
      <c r="B95" s="155" t="s">
        <v>629</v>
      </c>
      <c r="C95" s="259">
        <f>INDEX(TimberType[],MATCH(Input!$I$22,TimberType[Classe],0),MATCH(B95,TimberType[#Headers],0))</f>
        <v>19.2</v>
      </c>
      <c r="D95" s="260" t="s">
        <v>608</v>
      </c>
      <c r="H95" s="155" t="s">
        <v>611</v>
      </c>
      <c r="I95" s="259">
        <f>C95*I89/$K$152</f>
        <v>12.288</v>
      </c>
      <c r="J95" s="259">
        <f>C95*I90/$K$151</f>
        <v>9.2159999999999993</v>
      </c>
      <c r="K95" s="259" t="s">
        <v>608</v>
      </c>
    </row>
    <row r="96" spans="2:12" ht="18.75">
      <c r="B96" s="155" t="s">
        <v>630</v>
      </c>
      <c r="C96" s="259">
        <f>INDEX(TimberType[],MATCH(Input!$I$22,TimberType[Classe],0),MATCH(B96,TimberType[#Headers],0))</f>
        <v>0.5</v>
      </c>
      <c r="D96" s="260" t="s">
        <v>608</v>
      </c>
      <c r="H96" s="155" t="s">
        <v>613</v>
      </c>
      <c r="I96" s="259">
        <f>C96*I89/$K$152</f>
        <v>0.32</v>
      </c>
      <c r="J96" s="259">
        <f>C96*I90/$K$151</f>
        <v>0.24</v>
      </c>
      <c r="K96" s="259" t="s">
        <v>608</v>
      </c>
    </row>
    <row r="97" spans="2:12" ht="18.75">
      <c r="B97" s="155" t="s">
        <v>631</v>
      </c>
      <c r="C97" s="259">
        <f>INDEX(TimberType[],MATCH(Input!$I$22,TimberType[Classe],0),MATCH(B97,TimberType[#Headers],0))</f>
        <v>24</v>
      </c>
      <c r="D97" s="260" t="s">
        <v>608</v>
      </c>
      <c r="H97" s="155" t="s">
        <v>615</v>
      </c>
      <c r="I97" s="259">
        <f>C97*I89/$K$152</f>
        <v>15.360000000000003</v>
      </c>
      <c r="J97" s="259">
        <f>C97*I90/$K$151</f>
        <v>11.52</v>
      </c>
      <c r="K97" s="259" t="s">
        <v>608</v>
      </c>
    </row>
    <row r="98" spans="2:12" ht="18.75">
      <c r="B98" s="155" t="s">
        <v>632</v>
      </c>
      <c r="C98" s="259">
        <f>INDEX(TimberType[],MATCH(Input!$I$22,TimberType[Classe],0),MATCH(B98,TimberType[#Headers],0))</f>
        <v>2.5</v>
      </c>
      <c r="D98" s="260" t="s">
        <v>608</v>
      </c>
      <c r="H98" s="155" t="s">
        <v>617</v>
      </c>
      <c r="I98" s="259">
        <f>C98*I89/$K$152</f>
        <v>1.6</v>
      </c>
      <c r="J98" s="259">
        <f>C98*I90/$K$151</f>
        <v>1.2</v>
      </c>
      <c r="K98" s="259" t="s">
        <v>608</v>
      </c>
    </row>
    <row r="99" spans="2:12" ht="18.75">
      <c r="B99" s="155" t="s">
        <v>633</v>
      </c>
      <c r="C99" s="259">
        <f>INDEX(TimberType[],MATCH(Input!$I$22,TimberType[Classe],0),MATCH(B99,TimberType[#Headers],0))</f>
        <v>3.5</v>
      </c>
      <c r="D99" s="260" t="s">
        <v>608</v>
      </c>
      <c r="H99" s="155" t="s">
        <v>619</v>
      </c>
      <c r="I99" s="259">
        <f>C99*I89/$K$152*I91</f>
        <v>1.5008000000000001</v>
      </c>
      <c r="J99" s="259">
        <f>C99*I90/$K$151*I91</f>
        <v>1.1256000000000002</v>
      </c>
      <c r="K99" s="259" t="s">
        <v>608</v>
      </c>
    </row>
    <row r="100" spans="2:12" ht="17.25" thickBot="1">
      <c r="B100" s="155" t="s">
        <v>620</v>
      </c>
      <c r="C100" s="259">
        <f>Input!$E$31</f>
        <v>1.2</v>
      </c>
      <c r="D100" s="260" t="s">
        <v>608</v>
      </c>
      <c r="H100" s="156" t="s">
        <v>621</v>
      </c>
      <c r="I100" s="261">
        <f>C100*I89/$K$152</f>
        <v>0.76800000000000002</v>
      </c>
      <c r="J100" s="261">
        <f>C100*I90/$K$152</f>
        <v>0.57599999999999996</v>
      </c>
      <c r="K100" s="261" t="s">
        <v>608</v>
      </c>
    </row>
    <row r="101" spans="2:12" ht="15.75" thickTop="1">
      <c r="B101" s="157"/>
      <c r="C101" s="146"/>
      <c r="D101" s="254"/>
    </row>
    <row r="102" spans="2:12" ht="18.75">
      <c r="B102" s="155" t="s">
        <v>622</v>
      </c>
      <c r="C102" s="260">
        <f>INDEX(TimberType[],MATCH(Input!$I$22,TimberType[Classe],0),MATCH(B102,TimberType[#Headers],0))</f>
        <v>11500</v>
      </c>
      <c r="D102" s="260" t="s">
        <v>608</v>
      </c>
    </row>
    <row r="103" spans="2:12" ht="18.75">
      <c r="B103" s="155" t="s">
        <v>623</v>
      </c>
      <c r="C103" s="260">
        <f>INDEX(TimberType[],MATCH(Input!$I$22,TimberType[Classe],0),MATCH(B103,TimberType[#Headers],0))</f>
        <v>9600</v>
      </c>
      <c r="D103" s="260" t="s">
        <v>608</v>
      </c>
    </row>
    <row r="104" spans="2:12" ht="18.75">
      <c r="B104" s="155" t="s">
        <v>624</v>
      </c>
      <c r="C104" s="260">
        <f>INDEX(TimberType[],MATCH(Input!$I$22,TimberType[Classe],0),MATCH(B104,TimberType[#Headers],0))</f>
        <v>650</v>
      </c>
      <c r="D104" s="260" t="s">
        <v>608</v>
      </c>
    </row>
    <row r="105" spans="2:12" ht="18.75">
      <c r="B105" s="155" t="s">
        <v>625</v>
      </c>
      <c r="C105" s="260">
        <f>INDEX(TimberType[],MATCH(Input!$I$22,TimberType[Classe],0),MATCH(B105,TimberType[#Headers],0))</f>
        <v>540</v>
      </c>
      <c r="D105" s="260" t="s">
        <v>608</v>
      </c>
    </row>
    <row r="106" spans="2:12" ht="15">
      <c r="B106" s="157"/>
      <c r="C106" s="146"/>
      <c r="D106" s="249"/>
    </row>
    <row r="107" spans="2:12" ht="19.5" thickBot="1">
      <c r="B107" s="158" t="s">
        <v>626</v>
      </c>
      <c r="C107" s="262">
        <f>INDEX(TimberType[],MATCH(Input!$I$22,TimberType[Classe],0),MATCH(B107,TimberType[#Headers],0))</f>
        <v>385</v>
      </c>
      <c r="D107" s="263" t="s">
        <v>627</v>
      </c>
    </row>
    <row r="108" spans="2:12" ht="15" thickTop="1"/>
    <row r="109" spans="2:12" ht="84" customHeight="1"/>
    <row r="110" spans="2:12" ht="37.5" customHeight="1"/>
    <row r="111" spans="2:12" ht="45" customHeight="1"/>
    <row r="112" spans="2:12" ht="15">
      <c r="B112" s="177" t="str" cm="1">
        <f t="array" ref="B112">INDEX(LEN_REPORT[],31,MATCH(CONDITIONS!$E$3,Len_DB!$C$8:$H$8,0)+1)</f>
        <v>Geometry</v>
      </c>
      <c r="C112" s="177"/>
      <c r="D112" s="177"/>
      <c r="E112" s="177"/>
      <c r="F112" s="177"/>
      <c r="G112" s="177"/>
      <c r="H112" s="177"/>
      <c r="I112" s="177"/>
      <c r="J112" s="177"/>
      <c r="K112" s="177"/>
      <c r="L112" s="177"/>
    </row>
    <row r="113" spans="2:12" ht="3.75" customHeight="1"/>
    <row r="114" spans="2:12" s="117" customFormat="1" ht="12.75">
      <c r="B114" s="178" t="str" cm="1">
        <f t="array" ref="B114">INDEX(LEN_REPORT[],27,MATCH(CONDITIONS!$E$3,Len_DB!$C$8:$H$8,0)+1)</f>
        <v>(1) Slab</v>
      </c>
      <c r="C114" s="178"/>
      <c r="D114" s="178"/>
      <c r="E114" s="178"/>
      <c r="F114" s="178"/>
      <c r="H114" s="178" t="str" cm="1">
        <f t="array" ref="H114">INDEX(LEN_REPORT[],30,MATCH(CONDITIONS!$E$3,Len_DB!$C$8:$H$8,0)+1)</f>
        <v>(2) Rib beam</v>
      </c>
      <c r="I114" s="178"/>
      <c r="J114" s="178"/>
      <c r="K114" s="178"/>
      <c r="L114" s="178"/>
    </row>
    <row r="115" spans="2:12" s="117" customFormat="1" ht="7.5" customHeight="1"/>
    <row r="116" spans="2:12" s="117" customFormat="1" ht="13.15" customHeight="1">
      <c r="B116" s="249" t="str" cm="1">
        <f t="array" ref="B116">INDEX(LEN_REPORT[],33,MATCH(CONDITIONS!$E$3,Len_DB!$C$8:$H$8,0)+1)</f>
        <v>Height</v>
      </c>
      <c r="C116" s="225" t="s">
        <v>560</v>
      </c>
      <c r="D116" s="225"/>
      <c r="E116" s="252">
        <f>Input!$E$29</f>
        <v>80</v>
      </c>
      <c r="F116" s="119" t="s">
        <v>559</v>
      </c>
      <c r="H116" s="249" t="str" cm="1">
        <f t="array" ref="H116">INDEX(LEN_REPORT[],36,MATCH(CONDITIONS!$E$3,Len_DB!$C$8:$H$8,0)+1)</f>
        <v>Height</v>
      </c>
      <c r="I116" s="225" t="s">
        <v>561</v>
      </c>
      <c r="J116" s="225"/>
      <c r="K116" s="252">
        <f>Input!$K$29</f>
        <v>320</v>
      </c>
      <c r="L116" s="119" t="s">
        <v>559</v>
      </c>
    </row>
    <row r="117" spans="2:12" s="117" customFormat="1" ht="13.15" customHeight="1">
      <c r="B117" s="249" t="str" cm="1">
        <f t="array" ref="B117">INDEX(LEN_REPORT[],34,MATCH(CONDITIONS!$E$3,Len_DB!$C$8:$H$8,0)+1)</f>
        <v>Base</v>
      </c>
      <c r="C117" s="225" t="s">
        <v>562</v>
      </c>
      <c r="D117" s="225"/>
      <c r="E117" s="252">
        <f>Input!E30</f>
        <v>600</v>
      </c>
      <c r="F117" s="119" t="s">
        <v>559</v>
      </c>
      <c r="H117" s="249" t="str" cm="1">
        <f t="array" ref="H117">INDEX(LEN_REPORT[],37,MATCH(CONDITIONS!$E$3,Len_DB!$C$8:$H$8,0)+1)</f>
        <v>Base</v>
      </c>
      <c r="I117" s="225" t="s">
        <v>563</v>
      </c>
      <c r="J117" s="225"/>
      <c r="K117" s="252">
        <f>Input!$K$30</f>
        <v>160</v>
      </c>
      <c r="L117" s="119" t="s">
        <v>559</v>
      </c>
    </row>
    <row r="118" spans="2:12" s="117" customFormat="1" ht="11.25" customHeight="1">
      <c r="B118" s="249"/>
      <c r="F118" s="119"/>
      <c r="I118" s="179" t="s">
        <v>558</v>
      </c>
      <c r="J118" s="179"/>
      <c r="K118" s="252">
        <f>Input!K28</f>
        <v>154</v>
      </c>
      <c r="L118" s="119" t="s">
        <v>559</v>
      </c>
    </row>
    <row r="119" spans="2:12" s="117" customFormat="1" ht="13.15" customHeight="1">
      <c r="B119" s="249" t="str" cm="1">
        <f t="array" ref="B119">INDEX(LEN_REPORT[],35,MATCH(CONDITIONS!$E$3,Len_DB!$C$8:$H$8,0)+1)</f>
        <v>Beam span</v>
      </c>
      <c r="C119" s="225" t="s">
        <v>566</v>
      </c>
      <c r="D119" s="225"/>
      <c r="E119" s="252">
        <f>Input!$E$33</f>
        <v>6000</v>
      </c>
      <c r="F119" s="119" t="s">
        <v>559</v>
      </c>
      <c r="H119" s="249"/>
    </row>
    <row r="120" spans="2:12" s="117" customFormat="1" ht="3.75" customHeight="1"/>
    <row r="121" spans="2:12" s="117" customFormat="1" ht="150" customHeight="1">
      <c r="B121" s="176"/>
      <c r="C121" s="176"/>
      <c r="D121" s="176"/>
      <c r="E121" s="176"/>
      <c r="F121" s="176"/>
      <c r="G121" s="176"/>
      <c r="H121" s="176"/>
      <c r="I121" s="176"/>
      <c r="J121" s="176"/>
      <c r="K121" s="176"/>
      <c r="L121" s="176"/>
    </row>
    <row r="122" spans="2:12" ht="3.75" customHeight="1">
      <c r="B122"/>
      <c r="C122"/>
      <c r="D122"/>
      <c r="E122"/>
      <c r="F122"/>
      <c r="G122"/>
      <c r="H122"/>
    </row>
    <row r="123" spans="2:12" ht="15">
      <c r="B123" s="177" t="str" cm="1">
        <f t="array" ref="B123">INDEX(LEN_REPORT[],38,MATCH(CONDITIONS!$E$3,Len_DB!$C$8:$H$8,0)+1)</f>
        <v>Connection stiffness</v>
      </c>
      <c r="C123" s="177"/>
      <c r="D123" s="177"/>
      <c r="E123" s="177"/>
      <c r="F123" s="177"/>
      <c r="G123" s="177"/>
      <c r="H123" s="177"/>
      <c r="I123" s="177"/>
      <c r="J123" s="177"/>
      <c r="K123" s="177"/>
      <c r="L123" s="177"/>
    </row>
    <row r="124" spans="2:12" ht="3.75" customHeight="1"/>
    <row r="125" spans="2:12" s="117" customFormat="1" ht="12.75">
      <c r="B125" s="178" t="str" cm="1">
        <f t="array" ref="B125">INDEX(LEN_REPORT[],11,MATCH(CONDITIONS!$E$3,Len_DB!$C$8:$H$8,0)+1)</f>
        <v>At mid span</v>
      </c>
      <c r="C125" s="178"/>
      <c r="D125" s="178"/>
      <c r="E125" s="178"/>
      <c r="F125" s="178"/>
      <c r="H125" s="178" t="str" cm="1">
        <f t="array" ref="H125">INDEX(LEN_REPORT[],10,MATCH(CONDITIONS!$E$3,Len_DB!$C$8:$H$8,0)+1)</f>
        <v>At support</v>
      </c>
      <c r="I125" s="178"/>
      <c r="J125" s="178"/>
      <c r="K125" s="178"/>
      <c r="L125" s="178"/>
    </row>
    <row r="126" spans="2:12" s="117" customFormat="1" ht="7.5" customHeight="1"/>
    <row r="127" spans="2:12">
      <c r="B127" s="266" t="str" cm="1">
        <f t="array" ref="B127">INDEX(LEN_REPORT[],39,MATCH(CONDITIONS!$E$3,Len_DB!$C$8:$H$8,0)+1)</f>
        <v>Sharp metal type:</v>
      </c>
      <c r="C127" s="266"/>
      <c r="D127" s="266"/>
      <c r="E127" s="266"/>
      <c r="F127" s="266"/>
      <c r="H127" s="266" t="str" cm="1">
        <f t="array" ref="H127">INDEX(LEN_REPORT[],39,MATCH(CONDITIONS!$E$3,Len_DB!$C$8:$H$8,0)+1)</f>
        <v>Sharp metal type:</v>
      </c>
      <c r="I127" s="266"/>
      <c r="J127" s="266"/>
      <c r="K127" s="266"/>
      <c r="L127" s="266"/>
    </row>
    <row r="128" spans="2:12" ht="3.75" customHeight="1">
      <c r="B128" s="254"/>
      <c r="C128" s="254"/>
      <c r="D128" s="254"/>
      <c r="E128" s="254"/>
      <c r="F128" s="254"/>
      <c r="H128" s="254"/>
      <c r="I128" s="254"/>
      <c r="J128" s="254"/>
      <c r="K128" s="254"/>
      <c r="L128" s="254"/>
    </row>
    <row r="129" spans="2:12">
      <c r="B129" s="251" t="str">
        <f>Input!$I$41</f>
        <v>SHARP METAL + TBS MAX@a ≤ 100mm</v>
      </c>
      <c r="C129" s="251"/>
      <c r="D129" s="251"/>
      <c r="E129" s="251"/>
      <c r="F129" s="251"/>
      <c r="H129" s="251" t="str">
        <f>Input!$C$41</f>
        <v>SHARP METAL + TBS MAX@a ≤ 100mm</v>
      </c>
      <c r="I129" s="251"/>
      <c r="J129" s="251"/>
      <c r="K129" s="251"/>
      <c r="L129" s="251"/>
    </row>
    <row r="130" spans="2:12" ht="7.5" customHeight="1"/>
    <row r="131" spans="2:12">
      <c r="B131" s="249" t="str" cm="1">
        <f t="array" ref="B131">INDEX(LEN_REPORT[],40,MATCH(CONDITIONS!$E$3,Len_DB!$C$8:$H$8,0)+1)</f>
        <v>Influence lenght</v>
      </c>
      <c r="C131" s="179" t="s">
        <v>569</v>
      </c>
      <c r="D131" s="179"/>
      <c r="E131" s="252">
        <f>Input!K42</f>
        <v>3000</v>
      </c>
      <c r="F131" s="119" t="s">
        <v>559</v>
      </c>
      <c r="H131" s="249" t="str" cm="1">
        <f t="array" ref="H131">INDEX(LEN_REPORT[],40,MATCH(CONDITIONS!$E$3,Len_DB!$C$8:$H$8,0)+1)</f>
        <v>Influence lenght</v>
      </c>
      <c r="I131" s="179" t="s">
        <v>568</v>
      </c>
      <c r="J131" s="179"/>
      <c r="K131" s="252">
        <f>Input!E42</f>
        <v>1500</v>
      </c>
      <c r="L131" s="119" t="s">
        <v>559</v>
      </c>
    </row>
    <row r="132" spans="2:12" ht="3.75" customHeight="1">
      <c r="B132" s="249"/>
      <c r="C132" s="125"/>
      <c r="D132" s="125"/>
      <c r="E132" s="252"/>
      <c r="F132" s="119"/>
      <c r="H132" s="249"/>
      <c r="I132" s="125"/>
      <c r="J132" s="125"/>
      <c r="K132" s="252"/>
      <c r="L132" s="119"/>
    </row>
    <row r="133" spans="2:12" ht="25.5">
      <c r="B133" s="267" t="str" cm="1">
        <f t="array" ref="B133">INDEX(LEN_REPORT[],41,MATCH(CONDITIONS!$E$3,Len_DB!$C$8:$H$8,0)+1)</f>
        <v>Number of SHARP METAL</v>
      </c>
      <c r="C133" s="117"/>
      <c r="D133" s="117"/>
      <c r="E133" s="268">
        <f>Input!K43</f>
        <v>1</v>
      </c>
      <c r="F133" s="119"/>
      <c r="H133" s="267" t="str" cm="1">
        <f t="array" ref="H133">INDEX(LEN_REPORT[],41,MATCH(CONDITIONS!$E$3,Len_DB!$C$8:$H$8,0)+1)</f>
        <v>Number of SHARP METAL</v>
      </c>
      <c r="I133" s="117"/>
      <c r="J133" s="117"/>
      <c r="K133" s="268">
        <f>Input!E43</f>
        <v>2</v>
      </c>
      <c r="L133" s="119"/>
    </row>
    <row r="134" spans="2:12" ht="3.75" customHeight="1">
      <c r="B134" s="267"/>
      <c r="C134" s="117"/>
      <c r="D134" s="117"/>
      <c r="E134" s="252"/>
      <c r="F134" s="119"/>
      <c r="H134" s="267"/>
      <c r="I134" s="117"/>
      <c r="J134" s="117"/>
      <c r="K134" s="252"/>
      <c r="L134" s="119"/>
    </row>
    <row r="135" spans="2:12" ht="25.5">
      <c r="B135" s="267" t="str" cm="1">
        <f t="array" ref="B135">INDEX(LEN_REPORT[],42,MATCH(CONDITIONS!$E$3,Len_DB!$C$8:$H$8,0)+1)</f>
        <v>TBS MAX diameter</v>
      </c>
      <c r="C135" s="179" t="s">
        <v>570</v>
      </c>
      <c r="D135" s="179"/>
      <c r="E135" s="252">
        <f>Input!K44</f>
        <v>8</v>
      </c>
      <c r="F135" s="119" t="s">
        <v>559</v>
      </c>
      <c r="H135" s="267" t="str" cm="1">
        <f t="array" ref="H135">INDEX(LEN_REPORT[],42,MATCH(CONDITIONS!$E$3,Len_DB!$C$8:$H$8,0)+1)</f>
        <v>TBS MAX diameter</v>
      </c>
      <c r="I135" s="179" t="s">
        <v>570</v>
      </c>
      <c r="J135" s="179"/>
      <c r="K135" s="252">
        <f>Input!E44</f>
        <v>8</v>
      </c>
      <c r="L135" s="119" t="s">
        <v>559</v>
      </c>
    </row>
    <row r="136" spans="2:12">
      <c r="B136" s="249" t="s">
        <v>634</v>
      </c>
      <c r="C136" s="117"/>
      <c r="D136" s="117"/>
      <c r="E136" s="252">
        <f>Input!K45</f>
        <v>27</v>
      </c>
      <c r="F136" s="119" t="s">
        <v>559</v>
      </c>
      <c r="H136" s="249" t="s">
        <v>634</v>
      </c>
      <c r="I136" s="117"/>
      <c r="J136" s="117"/>
      <c r="K136" s="252">
        <f>Input!E45</f>
        <v>27</v>
      </c>
      <c r="L136" s="119" t="s">
        <v>559</v>
      </c>
    </row>
    <row r="137" spans="2:12" ht="16.5" customHeight="1">
      <c r="B137" s="269" t="s">
        <v>635</v>
      </c>
      <c r="C137" s="179" t="s">
        <v>573</v>
      </c>
      <c r="D137" s="179"/>
      <c r="E137" s="252">
        <f>Input!K46</f>
        <v>40</v>
      </c>
      <c r="F137" s="119" t="s">
        <v>559</v>
      </c>
      <c r="G137"/>
      <c r="H137" s="269" t="s">
        <v>635</v>
      </c>
      <c r="I137" s="179" t="s">
        <v>573</v>
      </c>
      <c r="J137" s="179"/>
      <c r="K137" s="252">
        <f>Input!E46</f>
        <v>40</v>
      </c>
      <c r="L137" s="119" t="s">
        <v>559</v>
      </c>
    </row>
    <row r="138" spans="2:12" ht="3.75" customHeight="1">
      <c r="B138"/>
      <c r="G138"/>
      <c r="H138"/>
      <c r="I138"/>
      <c r="J138"/>
      <c r="K138"/>
      <c r="L138"/>
    </row>
    <row r="139" spans="2:12" ht="135" customHeight="1">
      <c r="B139" s="174"/>
      <c r="C139" s="174"/>
      <c r="D139" s="174"/>
      <c r="E139" s="174"/>
      <c r="F139" s="174"/>
      <c r="G139"/>
      <c r="H139" s="174"/>
      <c r="I139" s="174"/>
      <c r="J139" s="174"/>
      <c r="K139" s="174"/>
      <c r="L139" s="174"/>
    </row>
    <row r="140" spans="2:12" ht="3.75" customHeight="1">
      <c r="B140"/>
      <c r="G140"/>
      <c r="H140"/>
      <c r="I140"/>
      <c r="J140"/>
      <c r="K140"/>
      <c r="L140"/>
    </row>
    <row r="141" spans="2:12">
      <c r="B141" s="269" t="str" cm="1">
        <f t="array" ref="B141">INDEX(LEN_REPORT[],43,MATCH(CONDITIONS!$E$3,Len_DB!$C$8:$H$8,0)+1)</f>
        <v>ELS Stiffness</v>
      </c>
      <c r="C141" s="179" t="s">
        <v>636</v>
      </c>
      <c r="D141" s="179"/>
      <c r="E141" s="253">
        <f>K141</f>
        <v>240187.5</v>
      </c>
      <c r="F141" s="119" t="s">
        <v>637</v>
      </c>
      <c r="H141" s="269" t="str" cm="1">
        <f t="array" ref="H141">INDEX(LEN_REPORT[],43,MATCH(CONDITIONS!$E$3,Len_DB!$C$8:$H$8,0)+1)</f>
        <v>ELS Stiffness</v>
      </c>
      <c r="I141" s="179" t="s">
        <v>636</v>
      </c>
      <c r="J141" s="179"/>
      <c r="K141" s="253">
        <f>'sharp metal'!C9*0.75+'sharp metal'!G9*0.25</f>
        <v>240187.5</v>
      </c>
      <c r="L141" s="119" t="s">
        <v>637</v>
      </c>
    </row>
    <row r="142" spans="2:12" ht="15">
      <c r="B142" s="269" t="str" cm="1">
        <f t="array" ref="B142">INDEX(LEN_REPORT[],44,MATCH(CONDITIONS!$E$3,Len_DB!$C$8:$H$8,0)+1)</f>
        <v>ULS Stiffness</v>
      </c>
      <c r="C142" s="179" t="s">
        <v>638</v>
      </c>
      <c r="D142" s="179"/>
      <c r="E142" s="253">
        <f>K142</f>
        <v>160125</v>
      </c>
      <c r="F142" s="119" t="s">
        <v>637</v>
      </c>
      <c r="G142"/>
      <c r="H142" s="269" t="str" cm="1">
        <f t="array" ref="H142">INDEX(LEN_REPORT[],44,MATCH(CONDITIONS!$E$3,Len_DB!$C$8:$H$8,0)+1)</f>
        <v>ULS Stiffness</v>
      </c>
      <c r="I142" s="179" t="s">
        <v>638</v>
      </c>
      <c r="J142" s="179"/>
      <c r="K142" s="253">
        <f>2/3*K141</f>
        <v>160125</v>
      </c>
      <c r="L142" s="119" t="s">
        <v>637</v>
      </c>
    </row>
    <row r="143" spans="2:12" ht="25.5">
      <c r="B143" s="270" t="str" cm="1">
        <f t="array" ref="B143">INDEX(LEN_REPORT[],45,MATCH(CONDITIONS!$E$3,Len_DB!$C$8:$H$8,0)+1)</f>
        <v>SHARP METAL lenght</v>
      </c>
      <c r="C143" s="179" t="s">
        <v>639</v>
      </c>
      <c r="D143" s="179" t="s">
        <v>640</v>
      </c>
      <c r="E143" s="255">
        <v>1000</v>
      </c>
      <c r="F143" s="119" t="s">
        <v>559</v>
      </c>
      <c r="H143" s="270" t="str" cm="1">
        <f t="array" ref="H143">INDEX(LEN_REPORT[],45,MATCH(CONDITIONS!$E$3,Len_DB!$C$8:$H$8,0)+1)</f>
        <v>SHARP METAL lenght</v>
      </c>
      <c r="I143" s="179" t="s">
        <v>639</v>
      </c>
      <c r="J143" s="179" t="s">
        <v>640</v>
      </c>
      <c r="K143" s="255">
        <v>1000</v>
      </c>
      <c r="L143" s="119" t="s">
        <v>559</v>
      </c>
    </row>
    <row r="144" spans="2:12" ht="7.5" customHeight="1">
      <c r="B144" s="149"/>
      <c r="E144"/>
      <c r="F144"/>
      <c r="G144"/>
      <c r="H144" s="149"/>
      <c r="K144"/>
      <c r="L144"/>
    </row>
    <row r="145" spans="2:12" ht="15" customHeight="1">
      <c r="B145" s="271" t="str" cm="1">
        <f t="array" ref="B145">INDEX(LEN_REPORT[],46,MATCH(CONDITIONS!$E$3,Len_DB!$C$8:$H$8,0)+1)</f>
        <v>Connection design resistance</v>
      </c>
      <c r="C145" s="179" t="s">
        <v>641</v>
      </c>
      <c r="D145" s="179"/>
      <c r="E145" s="255">
        <f>'sharp metal'!G14*I90/K150</f>
        <v>34060.617418896392</v>
      </c>
      <c r="F145" s="119" t="s">
        <v>642</v>
      </c>
      <c r="G145"/>
      <c r="H145" s="271" t="str" cm="1">
        <f t="array" ref="H145">INDEX(LEN_REPORT[],46,MATCH(CONDITIONS!$E$3,Len_DB!$C$8:$H$8,0)+1)</f>
        <v>Connection design resistance</v>
      </c>
      <c r="I145" s="179" t="s">
        <v>641</v>
      </c>
      <c r="J145" s="179"/>
      <c r="K145" s="255">
        <f>'sharp metal'!C14*I90/MAX($K$150)</f>
        <v>68121.234837792785</v>
      </c>
      <c r="L145" s="119" t="s">
        <v>642</v>
      </c>
    </row>
    <row r="146" spans="2:12">
      <c r="B146" s="271"/>
      <c r="C146" s="179" t="s">
        <v>643</v>
      </c>
      <c r="D146" s="179"/>
      <c r="E146" s="255">
        <f>'sharp metal'!G14*I89/K150</f>
        <v>45414.156558528528</v>
      </c>
      <c r="F146" s="119" t="s">
        <v>642</v>
      </c>
      <c r="H146" s="271"/>
      <c r="I146" s="179" t="s">
        <v>643</v>
      </c>
      <c r="J146" s="179"/>
      <c r="K146" s="255">
        <f>'sharp metal'!C14*I89/MAX($K$150)</f>
        <v>90828.313117057056</v>
      </c>
      <c r="L146" s="119" t="s">
        <v>642</v>
      </c>
    </row>
    <row r="147" spans="2:12" ht="3.75" customHeight="1">
      <c r="B147"/>
      <c r="C147"/>
      <c r="D147"/>
      <c r="E147"/>
      <c r="F147"/>
      <c r="G147"/>
      <c r="H147"/>
    </row>
    <row r="148" spans="2:12" ht="15">
      <c r="B148" s="177" t="str" cm="1">
        <f t="array" ref="B148">INDEX(LEN_REPORT[],47,MATCH(CONDITIONS!$E$3,Len_DB!$C$8:$H$8,0)+1)</f>
        <v>Coefficients</v>
      </c>
      <c r="C148" s="177"/>
      <c r="D148" s="177"/>
      <c r="E148" s="177"/>
      <c r="F148" s="177"/>
      <c r="G148" s="177"/>
      <c r="H148" s="177"/>
      <c r="I148" s="177"/>
      <c r="J148" s="177"/>
      <c r="K148" s="177"/>
      <c r="L148" s="177"/>
    </row>
    <row r="149" spans="2:12" ht="7.5" customHeight="1"/>
    <row r="150" spans="2:12" ht="18">
      <c r="C150" s="179" t="s">
        <v>644</v>
      </c>
      <c r="D150" s="179"/>
      <c r="E150" s="272">
        <f>INDEX(kdef[],MATCH($I$52,kdef[CS],0),2)</f>
        <v>0.69</v>
      </c>
      <c r="H150" s="269" t="s">
        <v>645</v>
      </c>
      <c r="I150" s="179" t="s">
        <v>646</v>
      </c>
      <c r="J150" s="179"/>
      <c r="K150" s="272">
        <f>INDEX(γ[],MATCH(LEFT(I150,2),γ[γ],0),MATCH(Input!$I$5,γ[#Headers],0))</f>
        <v>1.3</v>
      </c>
    </row>
    <row r="151" spans="2:12" ht="18">
      <c r="C151" s="179" t="s">
        <v>647</v>
      </c>
      <c r="D151" s="179"/>
      <c r="E151" s="272">
        <f>IF(F151="C",IF(E116&lt;=150,MIN((150/E116)^0.2,1.3),1),IF(E116&lt;600,MIN((600/E116)^0.1,1.1),1))</f>
        <v>1.1339665776330272</v>
      </c>
      <c r="F151" s="159" t="str">
        <f>IF(LEFT(Input!$C$22,1)="C","C",IF(LEFT(Input!$C$22,2)="GL","GL","err"))</f>
        <v>C</v>
      </c>
      <c r="H151" s="269" t="s">
        <v>246</v>
      </c>
      <c r="I151" s="179" t="s">
        <v>648</v>
      </c>
      <c r="J151" s="179"/>
      <c r="K151" s="272">
        <f>INDEX(γ[],MATCH(I151,γ[γ],0),MATCH(Input!$I$5,γ[#Headers],0))</f>
        <v>1.25</v>
      </c>
    </row>
    <row r="152" spans="2:12" ht="18">
      <c r="C152" s="179" t="s">
        <v>649</v>
      </c>
      <c r="D152" s="179"/>
      <c r="E152" s="272">
        <f>IF(F152="C",IF(K116&lt;=150,MIN((150/K116)^0.2,1.3),1),IF(K116&lt;600,MIN((600/K116)^0.1,1.1),1))</f>
        <v>1.0648786680336062</v>
      </c>
      <c r="F152" s="159" t="str">
        <f>IF(LEFT(Input!$I$22,1)="C","C",IF(LEFT(Input!$I$22,2)="GL","GL","err"))</f>
        <v>GL</v>
      </c>
      <c r="H152" s="269" t="s">
        <v>256</v>
      </c>
      <c r="I152" s="179" t="s">
        <v>650</v>
      </c>
      <c r="J152" s="179"/>
      <c r="K152" s="272">
        <f>INDEX(γ[],MATCH(I152,γ[γ],0),MATCH(Input!$I$5,γ[#Headers],0))</f>
        <v>1.25</v>
      </c>
    </row>
    <row r="153" spans="2:12" ht="37.5" customHeight="1"/>
    <row r="154" spans="2:12" ht="45" customHeight="1"/>
    <row r="155" spans="2:12" ht="15">
      <c r="B155" s="177" t="str" cm="1">
        <f t="array" ref="B155">INDEX(LEN_REPORT[],48,MATCH(CONDITIONS!$E$3,Len_DB!$C$8:$H$8,0)+1)</f>
        <v>Loads and internal actions</v>
      </c>
      <c r="C155" s="177"/>
      <c r="D155" s="177"/>
      <c r="E155" s="177"/>
      <c r="F155" s="177"/>
      <c r="G155" s="177"/>
      <c r="H155" s="177"/>
      <c r="I155" s="177"/>
      <c r="J155" s="177"/>
      <c r="K155" s="177"/>
      <c r="L155" s="177"/>
    </row>
    <row r="156" spans="2:12" ht="3.75" customHeight="1"/>
    <row r="157" spans="2:12" ht="15">
      <c r="B157" s="249" t="str" cm="1">
        <f t="array" ref="B157">INDEX(LEN_REPORT[],49,MATCH(CONDITIONS!$E$3,Len_DB!$C$8:$H$8,0)+1)</f>
        <v>Permanent loads</v>
      </c>
      <c r="C157" s="179" t="s">
        <v>551</v>
      </c>
      <c r="D157" s="179"/>
      <c r="E157" s="250">
        <f>$E$59</f>
        <v>1.89</v>
      </c>
      <c r="F157" s="254" t="s">
        <v>552</v>
      </c>
    </row>
    <row r="158" spans="2:12" ht="15">
      <c r="B158" s="249" t="str" cm="1">
        <f t="array" ref="B158">INDEX(LEN_REPORT[],50,MATCH(CONDITIONS!$E$3,Len_DB!$C$8:$H$8,0)+1)</f>
        <v>Accidental loads</v>
      </c>
      <c r="C158" s="179" t="s">
        <v>553</v>
      </c>
      <c r="D158" s="179"/>
      <c r="E158" s="249">
        <f>$E$60</f>
        <v>1.2</v>
      </c>
      <c r="F158" s="254" t="s">
        <v>552</v>
      </c>
    </row>
    <row r="159" spans="2:12" ht="7.5" customHeight="1"/>
    <row r="160" spans="2:12" ht="25.5">
      <c r="B160" s="267" t="str" cm="1">
        <f t="array" ref="B160">INDEX(LEN_REPORT[],51,MATCH(CONDITIONS!$E$3,Len_DB!$C$8:$H$8,0)+1)</f>
        <v>Design load (permanent)</v>
      </c>
      <c r="G160" s="260">
        <f>(Dati!$K$78*E157)</f>
        <v>2.5514999999999999</v>
      </c>
      <c r="H160" s="249" t="s">
        <v>651</v>
      </c>
      <c r="I160" s="160"/>
    </row>
    <row r="161" spans="2:12">
      <c r="B161" s="267" t="str" cm="1">
        <f t="array" ref="B161">INDEX(LEN_REPORT[],52,MATCH(CONDITIONS!$E$3,Len_DB!$C$8:$H$8,0)+1)</f>
        <v>Design load</v>
      </c>
      <c r="G161" s="260">
        <f>(Dati!$K$78*E157+Dati!$K$79*E158)</f>
        <v>4.3514999999999997</v>
      </c>
      <c r="H161" s="249" t="s">
        <v>651</v>
      </c>
      <c r="I161" s="160"/>
    </row>
    <row r="162" spans="2:12" ht="3.75" customHeight="1">
      <c r="B162" s="161"/>
    </row>
    <row r="163" spans="2:12" ht="105.75" customHeight="1">
      <c r="B163" s="216"/>
      <c r="C163" s="216"/>
      <c r="D163" s="216"/>
      <c r="E163" s="216"/>
      <c r="F163" s="216"/>
      <c r="H163" s="216"/>
      <c r="I163" s="216"/>
      <c r="J163" s="216"/>
      <c r="K163" s="216"/>
      <c r="L163" s="216"/>
    </row>
    <row r="164" spans="2:12" ht="3.75" customHeight="1"/>
    <row r="165" spans="2:12" ht="15">
      <c r="B165" s="177" t="str" cm="1">
        <f t="array" ref="B165">INDEX(LEN_REPORT[],53,MATCH(CONDITIONS!$E$3,Len_DB!$C$8:$H$8,0)+1)</f>
        <v>ULS combinations</v>
      </c>
      <c r="C165" s="177"/>
      <c r="D165" s="177"/>
      <c r="E165" s="177"/>
      <c r="F165" s="177"/>
      <c r="G165" s="177"/>
      <c r="H165" s="177"/>
      <c r="I165" s="177"/>
      <c r="J165" s="177"/>
      <c r="K165" s="177"/>
      <c r="L165" s="177"/>
    </row>
    <row r="166" spans="2:12" ht="6.75" customHeight="1"/>
    <row r="167" spans="2:12" ht="27" customHeight="1">
      <c r="B167" s="249" t="str" cm="1">
        <f t="array" ref="B167">INDEX(LEN_REPORT[],54,MATCH(CONDITIONS!$E$3,Len_DB!$C$8:$H$8,0)+1)</f>
        <v>Bending moment</v>
      </c>
      <c r="E167" s="259">
        <f>$G$160*$E$119^2/8/10^6</f>
        <v>11.48175</v>
      </c>
      <c r="F167" s="249" t="s">
        <v>652</v>
      </c>
      <c r="H167" s="249" t="str" cm="1">
        <f t="array" ref="H167">INDEX(LEN_REPORT[],54,MATCH(CONDITIONS!$E$3,Len_DB!$C$8:$H$8,0)+1)</f>
        <v>Bending moment</v>
      </c>
      <c r="I167" s="249"/>
      <c r="K167" s="259">
        <f>$G$161*$E$119^2/8/10^6</f>
        <v>19.58175</v>
      </c>
      <c r="L167" s="249" t="s">
        <v>652</v>
      </c>
    </row>
    <row r="168" spans="2:12" ht="27" customHeight="1">
      <c r="B168" s="249" t="str" cm="1">
        <f t="array" ref="B168">INDEX(LEN_REPORT[],55,MATCH(CONDITIONS!$E$3,Len_DB!$C$8:$H$8,0)+1)</f>
        <v>Shear force</v>
      </c>
      <c r="E168" s="259">
        <f>$G$160*$E$119/2/10^3</f>
        <v>7.6544999999999996</v>
      </c>
      <c r="F168" s="249" t="s">
        <v>653</v>
      </c>
      <c r="H168" s="249" t="str" cm="1">
        <f t="array" ref="H168">INDEX(LEN_REPORT[],55,MATCH(CONDITIONS!$E$3,Len_DB!$C$8:$H$8,0)+1)</f>
        <v>Shear force</v>
      </c>
      <c r="K168" s="259">
        <f>$G$161*$E$119/2/10^3</f>
        <v>13.054500000000001</v>
      </c>
      <c r="L168" s="249" t="s">
        <v>653</v>
      </c>
    </row>
    <row r="169" spans="2:12" ht="3.75" customHeight="1">
      <c r="H169" s="162"/>
    </row>
    <row r="170" spans="2:12" ht="30" customHeight="1">
      <c r="B170" s="215" t="str" cm="1">
        <f t="array" ref="B170">INDEX(LEN_REPORT[],56,MATCH(CONDITIONS!$E$3,Len_DB!$C$8:$H$8,0)+1)</f>
        <v>Elements stiffness at mid span at ULS
(t = 0)</v>
      </c>
      <c r="C170" s="215"/>
      <c r="D170" s="215"/>
      <c r="E170" s="215"/>
      <c r="F170" s="215"/>
      <c r="G170"/>
      <c r="H170" s="215" t="str" cm="1">
        <f t="array" ref="H170">INDEX(LEN_REPORT[],74,MATCH(CONDITIONS!$E$3,Len_DB!$C$8:$H$8,0)+1)</f>
        <v>Elements stiffness at support at ULS
(t = 0)</v>
      </c>
      <c r="I170" s="215"/>
      <c r="J170" s="215"/>
      <c r="K170" s="215"/>
      <c r="L170" s="215"/>
    </row>
    <row r="171" spans="2:12" ht="3.75" customHeight="1"/>
    <row r="172" spans="2:12" s="117" customFormat="1" ht="12.75">
      <c r="B172" s="178" t="str" cm="1">
        <f t="array" ref="B172">INDEX(LEN_REPORT[],27,MATCH(CONDITIONS!$E$3,Len_DB!$C$8:$H$8,0)+1)</f>
        <v>(1) Slab</v>
      </c>
      <c r="C172" s="178"/>
      <c r="D172" s="178"/>
      <c r="E172" s="178"/>
      <c r="F172" s="178"/>
      <c r="H172" s="178" t="str" cm="1">
        <f t="array" ref="H172">INDEX(LEN_REPORT[],27,MATCH(CONDITIONS!$E$3,Len_DB!$C$8:$H$8,0)+1)</f>
        <v>(1) Slab</v>
      </c>
      <c r="I172" s="178"/>
      <c r="J172" s="178"/>
      <c r="K172" s="178"/>
      <c r="L172" s="178"/>
    </row>
    <row r="173" spans="2:12" s="117" customFormat="1" ht="7.5" customHeight="1"/>
    <row r="174" spans="2:12" ht="15">
      <c r="B174" s="249" t="str" cm="1">
        <f t="array" ref="B174">INDEX(LEN_REPORT[],57,MATCH(CONDITIONS!$E$3,Len_DB!$C$8:$H$8,0)+1)</f>
        <v>Bending stiffness</v>
      </c>
      <c r="C174" s="179" t="s">
        <v>654</v>
      </c>
      <c r="D174" s="179"/>
      <c r="E174" s="273">
        <f>$C$80*E45</f>
        <v>235810882966.50311</v>
      </c>
      <c r="F174" s="249" t="s">
        <v>655</v>
      </c>
      <c r="H174" s="249" t="str" cm="1">
        <f t="array" ref="H174">INDEX(LEN_REPORT[],57,MATCH(CONDITIONS!$E$3,Len_DB!$C$8:$H$8,0)+1)</f>
        <v>Bending stiffness</v>
      </c>
      <c r="I174" s="179" t="s">
        <v>654</v>
      </c>
      <c r="J174" s="179"/>
      <c r="K174" s="273">
        <f>$C$80*K45</f>
        <v>101640000000</v>
      </c>
      <c r="L174" s="249" t="s">
        <v>655</v>
      </c>
    </row>
    <row r="175" spans="2:12">
      <c r="B175" s="249" t="str" cm="1">
        <f t="array" ref="B175">INDEX(LEN_REPORT[],58,MATCH(CONDITIONS!$E$3,Len_DB!$C$8:$H$8,0)+1)</f>
        <v>Axial stiffness</v>
      </c>
      <c r="C175" s="179" t="s">
        <v>656</v>
      </c>
      <c r="D175" s="179"/>
      <c r="E175" s="273">
        <f>$C$80*E46</f>
        <v>336872689.95214731</v>
      </c>
      <c r="F175" s="249" t="s">
        <v>642</v>
      </c>
      <c r="H175" s="249" t="str" cm="1">
        <f t="array" ref="H175">INDEX(LEN_REPORT[],58,MATCH(CONDITIONS!$E$3,Len_DB!$C$8:$H$8,0)+1)</f>
        <v>Axial stiffness</v>
      </c>
      <c r="I175" s="179" t="s">
        <v>656</v>
      </c>
      <c r="J175" s="179"/>
      <c r="K175" s="273">
        <f>$C$80*K46</f>
        <v>145200000</v>
      </c>
      <c r="L175" s="249" t="s">
        <v>642</v>
      </c>
    </row>
    <row r="176" spans="2:12" ht="3.75" customHeight="1">
      <c r="B176" s="249"/>
      <c r="C176" s="125"/>
      <c r="D176" s="125"/>
      <c r="E176" s="273"/>
      <c r="F176" s="249"/>
      <c r="H176" s="249"/>
      <c r="I176" s="125"/>
      <c r="J176" s="125"/>
      <c r="K176" s="273"/>
      <c r="L176" s="249"/>
    </row>
    <row r="177" spans="2:12">
      <c r="B177" s="178" t="str" cm="1">
        <f t="array" ref="B177">INDEX(LEN_REPORT[],30,MATCH(CONDITIONS!$E$3,Len_DB!$C$8:$H$8,0)+1)</f>
        <v>(2) Rib beam</v>
      </c>
      <c r="C177" s="178"/>
      <c r="D177" s="178"/>
      <c r="E177" s="178"/>
      <c r="F177" s="178"/>
      <c r="H177" s="178" t="str" cm="1">
        <f t="array" ref="H177">INDEX(LEN_REPORT[],30,MATCH(CONDITIONS!$E$3,Len_DB!$C$8:$H$8,0)+1)</f>
        <v>(2) Rib beam</v>
      </c>
      <c r="I177" s="178"/>
      <c r="J177" s="178"/>
      <c r="K177" s="178"/>
      <c r="L177" s="178"/>
    </row>
    <row r="178" spans="2:12" ht="7.5" customHeight="1">
      <c r="B178" s="117"/>
      <c r="C178" s="117"/>
      <c r="D178" s="117"/>
      <c r="E178" s="117"/>
      <c r="F178" s="117"/>
      <c r="H178" s="117"/>
      <c r="I178" s="117"/>
      <c r="J178" s="117"/>
      <c r="K178" s="117"/>
      <c r="L178" s="117"/>
    </row>
    <row r="179" spans="2:12" ht="15">
      <c r="B179" s="249" t="str" cm="1">
        <f t="array" ref="B179">INDEX(LEN_REPORT[],57,MATCH(CONDITIONS!$E$3,Len_DB!$C$8:$H$8,0)+1)</f>
        <v>Bending stiffness</v>
      </c>
      <c r="C179" s="179" t="s">
        <v>657</v>
      </c>
      <c r="D179" s="179"/>
      <c r="E179" s="273">
        <f>$C$102*$K$117*$K$116^3/12</f>
        <v>5024426666666.667</v>
      </c>
      <c r="F179" s="249" t="s">
        <v>655</v>
      </c>
      <c r="H179" s="249" t="str" cm="1">
        <f t="array" ref="H179">INDEX(LEN_REPORT[],57,MATCH(CONDITIONS!$E$3,Len_DB!$C$8:$H$8,0)+1)</f>
        <v>Bending stiffness</v>
      </c>
      <c r="I179" s="179" t="s">
        <v>657</v>
      </c>
      <c r="J179" s="179"/>
      <c r="K179" s="273">
        <f>$C$102*$K$117*$K$116^3/12</f>
        <v>5024426666666.667</v>
      </c>
      <c r="L179" s="249" t="s">
        <v>655</v>
      </c>
    </row>
    <row r="180" spans="2:12">
      <c r="B180" s="249" t="str" cm="1">
        <f t="array" ref="B180">INDEX(LEN_REPORT[],58,MATCH(CONDITIONS!$E$3,Len_DB!$C$8:$H$8,0)+1)</f>
        <v>Axial stiffness</v>
      </c>
      <c r="C180" s="179" t="s">
        <v>658</v>
      </c>
      <c r="D180" s="179"/>
      <c r="E180" s="273">
        <f>$C$102*$K$116*$K$117</f>
        <v>588800000</v>
      </c>
      <c r="F180" s="249" t="s">
        <v>642</v>
      </c>
      <c r="H180" s="249" t="str" cm="1">
        <f t="array" ref="H180">INDEX(LEN_REPORT[],58,MATCH(CONDITIONS!$E$3,Len_DB!$C$8:$H$8,0)+1)</f>
        <v>Axial stiffness</v>
      </c>
      <c r="I180" s="179" t="s">
        <v>658</v>
      </c>
      <c r="J180" s="179"/>
      <c r="K180" s="273">
        <f>$C$102*$K$116*$K$117</f>
        <v>588800000</v>
      </c>
      <c r="L180" s="249" t="s">
        <v>642</v>
      </c>
    </row>
    <row r="181" spans="2:12" ht="3.75" customHeight="1"/>
    <row r="182" spans="2:12" s="117" customFormat="1" ht="12.75">
      <c r="B182" s="178" t="str" cm="1">
        <f t="array" ref="B182">INDEX(LEN_REPORT[],60,MATCH(CONDITIONS!$E$3,Len_DB!$C$8:$H$8,0)+1)</f>
        <v>Composite system stiffness</v>
      </c>
      <c r="C182" s="178"/>
      <c r="D182" s="178"/>
      <c r="E182" s="178"/>
      <c r="F182" s="178"/>
      <c r="H182" s="178" t="str" cm="1">
        <f t="array" ref="H182">INDEX(LEN_REPORT[],60,MATCH(CONDITIONS!$E$3,Len_DB!$C$8:$H$8,0)+1)</f>
        <v>Composite system stiffness</v>
      </c>
      <c r="I182" s="178"/>
      <c r="J182" s="178"/>
      <c r="K182" s="178"/>
      <c r="L182" s="178"/>
    </row>
    <row r="183" spans="2:12" s="117" customFormat="1" ht="7.5" customHeight="1"/>
    <row r="184" spans="2:12" ht="25.5">
      <c r="B184" s="267" t="str" cm="1">
        <f t="array" ref="B184">INDEX(LEN_REPORT[],61,MATCH(CONDITIONS!$E$3,Len_DB!$C$8:$H$8,0)+1)</f>
        <v>Composite bending stiffness</v>
      </c>
      <c r="C184" s="163"/>
      <c r="D184" s="163"/>
      <c r="E184" s="273">
        <f>E179+E174</f>
        <v>5260237549633.1699</v>
      </c>
      <c r="F184" s="249" t="s">
        <v>655</v>
      </c>
      <c r="H184" s="267" t="str" cm="1">
        <f t="array" ref="H184">INDEX(LEN_REPORT[],61,MATCH(CONDITIONS!$E$3,Len_DB!$C$8:$H$8,0)+1)</f>
        <v>Composite bending stiffness</v>
      </c>
      <c r="I184" s="163"/>
      <c r="J184" s="163"/>
      <c r="K184" s="273">
        <f>K179+K174</f>
        <v>5126066666666.667</v>
      </c>
      <c r="L184" s="249" t="s">
        <v>655</v>
      </c>
    </row>
    <row r="185" spans="2:12" ht="25.5">
      <c r="B185" s="267" t="str" cm="1">
        <f t="array" ref="B185">INDEX(LEN_REPORT[],62,MATCH(CONDITIONS!$E$3,Len_DB!$C$8:$H$8,0)+1)</f>
        <v>Composite axial stiffness</v>
      </c>
      <c r="C185" s="163"/>
      <c r="D185" s="163"/>
      <c r="E185" s="273">
        <f>(E180*E175)/(E180+E175)</f>
        <v>214277294.76828152</v>
      </c>
      <c r="F185" s="249" t="s">
        <v>642</v>
      </c>
      <c r="H185" s="267" t="str" cm="1">
        <f t="array" ref="H185">INDEX(LEN_REPORT[],62,MATCH(CONDITIONS!$E$3,Len_DB!$C$8:$H$8,0)+1)</f>
        <v>Composite axial stiffness</v>
      </c>
      <c r="I185" s="163"/>
      <c r="J185" s="163"/>
      <c r="K185" s="273">
        <f>(K180*K175)/(K180+K175)</f>
        <v>116476512.26158038</v>
      </c>
      <c r="L185" s="249" t="s">
        <v>642</v>
      </c>
    </row>
    <row r="186" spans="2:12" ht="7.5" customHeight="1"/>
    <row r="187" spans="2:12" ht="51">
      <c r="B187" s="267" t="str" cm="1">
        <f t="array" ref="B187">INDEX(LEN_REPORT[],63,MATCH(CONDITIONS!$E$3,Len_DB!$C$8:$H$8,0)+1)</f>
        <v>Distance between centres of mass of (1) and (2)</v>
      </c>
      <c r="E187" s="274">
        <f>E116/2+K116/2</f>
        <v>200</v>
      </c>
      <c r="F187" s="249" t="s">
        <v>559</v>
      </c>
      <c r="H187" s="267" t="str" cm="1">
        <f t="array" ref="H187">INDEX(LEN_REPORT[],63,MATCH(CONDITIONS!$E$3,Len_DB!$C$8:$H$8,0)+1)</f>
        <v>Distance between centres of mass of (1) and (2)</v>
      </c>
      <c r="K187" s="274">
        <f>$E$116/2+$K$116/2</f>
        <v>200</v>
      </c>
      <c r="L187" s="249" t="s">
        <v>559</v>
      </c>
    </row>
    <row r="188" spans="2:12" ht="7.5" customHeight="1"/>
    <row r="189" spans="2:12">
      <c r="B189" s="249" t="str" cm="1">
        <f t="array" ref="B189">INDEX(LEN_REPORT[],57,MATCH(CONDITIONS!$E$3,Len_DB!$C$8:$H$8,0)+1)</f>
        <v>Bending stiffness</v>
      </c>
      <c r="H189" s="249" t="str" cm="1">
        <f t="array" ref="H189">INDEX(LEN_REPORT[],57,MATCH(CONDITIONS!$E$3,Len_DB!$C$8:$H$8,0)+1)</f>
        <v>Bending stiffness</v>
      </c>
    </row>
    <row r="190" spans="2:12" ht="28.5" customHeight="1">
      <c r="C190" s="179"/>
      <c r="D190" s="179"/>
      <c r="E190" s="273">
        <f>E184+E185*E187^2</f>
        <v>13831329340364.43</v>
      </c>
      <c r="F190" s="249" t="s">
        <v>655</v>
      </c>
      <c r="I190" s="179"/>
      <c r="J190" s="179"/>
      <c r="K190" s="273">
        <f>K184+K185*K187^2</f>
        <v>9785127157129.8828</v>
      </c>
      <c r="L190" s="249" t="s">
        <v>655</v>
      </c>
    </row>
    <row r="191" spans="2:12" ht="3.75" customHeight="1"/>
    <row r="192" spans="2:12" s="117" customFormat="1" ht="12.75">
      <c r="B192" s="178" t="str" cm="1">
        <f t="array" ref="B192">INDEX(LEN_REPORT[],64,MATCH(CONDITIONS!$E$3,Len_DB!$C$8:$H$8,0)+1)</f>
        <v>Composite system effective stiffness</v>
      </c>
      <c r="C192" s="178"/>
      <c r="D192" s="178"/>
      <c r="E192" s="178"/>
      <c r="F192" s="178"/>
      <c r="H192" s="178" t="str" cm="1">
        <f t="array" ref="H192">INDEX(LEN_REPORT[],64,MATCH(CONDITIONS!$E$3,Len_DB!$C$8:$H$8,0)+1)</f>
        <v>Composite system effective stiffness</v>
      </c>
      <c r="I192" s="178"/>
      <c r="J192" s="178"/>
      <c r="K192" s="178"/>
      <c r="L192" s="178"/>
    </row>
    <row r="193" spans="2:12" s="117" customFormat="1" ht="7.5" customHeight="1"/>
    <row r="194" spans="2:12" ht="37.5" customHeight="1">
      <c r="E194" s="275">
        <f>(1+3.14^2*E175*E143/E142/$E$119^2)^-1</f>
        <v>0.63444248597438901</v>
      </c>
      <c r="K194" s="275">
        <f>(1+3.14^2*K175*K143/K142/$E$119^2)^-1</f>
        <v>0.80105735735767791</v>
      </c>
    </row>
    <row r="195" spans="2:12" ht="37.5" customHeight="1">
      <c r="E195" s="274">
        <f>(E194*E175*E187)/(E194*E175+E180)</f>
        <v>53.263384486667626</v>
      </c>
      <c r="F195" s="249" t="s">
        <v>559</v>
      </c>
      <c r="K195" s="274">
        <f>(K194*K175*K187)/(K194*K175+K180)</f>
        <v>32.991432903205322</v>
      </c>
      <c r="L195" s="249" t="s">
        <v>559</v>
      </c>
    </row>
    <row r="196" spans="2:12">
      <c r="C196" s="179" t="s">
        <v>659</v>
      </c>
      <c r="D196" s="179"/>
      <c r="E196" s="274">
        <f>E187-E195</f>
        <v>146.73661551333237</v>
      </c>
      <c r="F196" s="249" t="s">
        <v>559</v>
      </c>
      <c r="I196" s="179" t="s">
        <v>659</v>
      </c>
      <c r="J196" s="179"/>
      <c r="K196" s="274">
        <f>K187-K195</f>
        <v>167.00856709679468</v>
      </c>
      <c r="L196" s="249" t="s">
        <v>559</v>
      </c>
    </row>
    <row r="197" spans="2:12" ht="7.5" customHeight="1"/>
    <row r="198" spans="2:12" ht="28.5" customHeight="1">
      <c r="B198"/>
      <c r="C198"/>
      <c r="D198"/>
      <c r="E198" s="273">
        <f>E174+E179+E180*E195^2+E175*E196^2*E194</f>
        <v>11532533706783.148</v>
      </c>
      <c r="F198" s="249" t="s">
        <v>655</v>
      </c>
      <c r="G198"/>
      <c r="H198"/>
      <c r="I198"/>
      <c r="J198"/>
      <c r="K198" s="273">
        <f>K174+K179+K180*K195^2+K175*K196^2*K194</f>
        <v>9011137805348.125</v>
      </c>
      <c r="L198" s="249" t="s">
        <v>655</v>
      </c>
    </row>
    <row r="199" spans="2:12" ht="11.25" customHeight="1">
      <c r="B199"/>
      <c r="C199"/>
      <c r="D199"/>
      <c r="E199"/>
      <c r="F199"/>
      <c r="G199"/>
      <c r="H199"/>
      <c r="I199"/>
      <c r="J199"/>
      <c r="K199"/>
      <c r="L199"/>
    </row>
    <row r="200" spans="2:12" ht="15">
      <c r="B200" t="str" cm="1">
        <f t="array" ref="B200">INDEX(LEN_REPORT[],65,MATCH(CONDITIONS!$E$3,Len_DB!$C$8:$H$8,0)+1)</f>
        <v>Composite system efficency</v>
      </c>
      <c r="C200"/>
      <c r="D200"/>
      <c r="E200"/>
      <c r="F200"/>
      <c r="G200"/>
      <c r="H200" t="str" cm="1">
        <f t="array" ref="H200">INDEX(LEN_REPORT[],65,MATCH(CONDITIONS!$E$3,Len_DB!$C$8:$H$8,0)+1)</f>
        <v>Composite system efficency</v>
      </c>
      <c r="I200"/>
      <c r="J200"/>
      <c r="K200"/>
      <c r="L200"/>
    </row>
    <row r="201" spans="2:12" ht="7.5" customHeight="1">
      <c r="B201"/>
      <c r="C201"/>
      <c r="D201"/>
      <c r="E201"/>
      <c r="F201"/>
      <c r="G201"/>
      <c r="H201"/>
      <c r="I201"/>
      <c r="J201"/>
      <c r="K201"/>
      <c r="L201"/>
    </row>
    <row r="202" spans="2:12" ht="30" customHeight="1">
      <c r="B202"/>
      <c r="C202"/>
      <c r="D202"/>
      <c r="E202" s="276">
        <f>(E198-E184)/(E190-E184)</f>
        <v>0.73179663808207163</v>
      </c>
      <c r="F202"/>
      <c r="G202"/>
      <c r="H202"/>
      <c r="I202"/>
      <c r="J202"/>
      <c r="K202" s="276">
        <f>(K198-K184)/(K190-K184)</f>
        <v>0.83387437158928024</v>
      </c>
      <c r="L202"/>
    </row>
    <row r="203" spans="2:12" ht="37.5" customHeight="1">
      <c r="B203"/>
      <c r="C203"/>
      <c r="D203"/>
      <c r="E203"/>
      <c r="F203"/>
      <c r="G203"/>
      <c r="H203"/>
    </row>
    <row r="204" spans="2:12" ht="45" customHeight="1">
      <c r="B204"/>
      <c r="C204"/>
      <c r="D204"/>
      <c r="E204"/>
      <c r="F204"/>
      <c r="G204"/>
      <c r="H204"/>
    </row>
    <row r="205" spans="2:12" ht="30" customHeight="1">
      <c r="B205" s="215" t="str" cm="1">
        <f t="array" ref="B205">INDEX(LEN_REPORT[],59,MATCH(CONDITIONS!$E$3,Len_DB!$C$8:$H$8,0)+1)</f>
        <v>Elements stiffness at mid span at ULS
[g] (t = ∞)</v>
      </c>
      <c r="C205" s="215"/>
      <c r="D205" s="215"/>
      <c r="E205" s="215"/>
      <c r="F205" s="215"/>
      <c r="G205"/>
      <c r="H205" s="218" t="str" cm="1">
        <f t="array" ref="H205">INDEX(LEN_REPORT[],75,MATCH(CONDITIONS!$E$3,Len_DB!$C$8:$H$8,0)+1)</f>
        <v>Elements stiffness at support at ULS
[g] (t = ∞)</v>
      </c>
      <c r="I205" s="218"/>
      <c r="J205" s="218"/>
      <c r="K205" s="218"/>
      <c r="L205" s="218"/>
    </row>
    <row r="206" spans="2:12" ht="3.75" customHeight="1"/>
    <row r="207" spans="2:12">
      <c r="B207" s="178" t="str" cm="1">
        <f t="array" ref="B207">INDEX(LEN_REPORT[],27,MATCH(CONDITIONS!$E$3,Len_DB!$C$8:$H$8,0)+1)</f>
        <v>(1) Slab</v>
      </c>
      <c r="C207" s="178"/>
      <c r="D207" s="178"/>
      <c r="E207" s="178"/>
      <c r="F207" s="178"/>
      <c r="G207" s="117"/>
      <c r="H207" s="178" t="str" cm="1">
        <f t="array" ref="H207">INDEX(LEN_REPORT[],27,MATCH(CONDITIONS!$E$3,Len_DB!$C$8:$H$8,0)+1)</f>
        <v>(1) Slab</v>
      </c>
      <c r="I207" s="178"/>
      <c r="J207" s="178"/>
      <c r="K207" s="178"/>
      <c r="L207" s="178"/>
    </row>
    <row r="208" spans="2:12" ht="7.5" customHeight="1">
      <c r="B208" s="117"/>
      <c r="C208" s="117"/>
      <c r="D208" s="117"/>
      <c r="E208" s="117"/>
      <c r="F208" s="117"/>
      <c r="G208" s="117"/>
      <c r="H208" s="117"/>
      <c r="I208" s="117"/>
      <c r="J208" s="117"/>
      <c r="K208" s="117"/>
      <c r="L208" s="117"/>
    </row>
    <row r="209" spans="2:12">
      <c r="C209" s="217" t="s">
        <v>660</v>
      </c>
      <c r="D209" s="179"/>
      <c r="E209" s="254">
        <v>1</v>
      </c>
      <c r="I209" s="217" t="s">
        <v>660</v>
      </c>
      <c r="J209" s="179"/>
      <c r="K209" s="254">
        <v>1</v>
      </c>
    </row>
    <row r="210" spans="2:12" ht="28.5" customHeight="1">
      <c r="E210" s="274">
        <f>$C$80/(1+E209*$E$150)</f>
        <v>6508.875739644971</v>
      </c>
      <c r="F210" s="249" t="s">
        <v>608</v>
      </c>
      <c r="K210" s="274">
        <f>$C$80/(1+K209*$E$150)</f>
        <v>6508.875739644971</v>
      </c>
      <c r="L210" s="249" t="s">
        <v>608</v>
      </c>
    </row>
    <row r="211" spans="2:12" ht="7.5" customHeight="1"/>
    <row r="212" spans="2:12" ht="15">
      <c r="B212" s="249" t="str" cm="1">
        <f t="array" ref="B212">INDEX(LEN_REPORT[],57,MATCH(CONDITIONS!$E$3,Len_DB!$C$8:$H$8,0)+1)</f>
        <v>Bending stiffness</v>
      </c>
      <c r="C212" s="179" t="s">
        <v>654</v>
      </c>
      <c r="D212" s="179"/>
      <c r="E212" s="273">
        <f>E210*E45</f>
        <v>139533066844.08469</v>
      </c>
      <c r="F212" s="249" t="s">
        <v>655</v>
      </c>
      <c r="H212" s="249" t="str" cm="1">
        <f t="array" ref="H212">INDEX(LEN_REPORT[],57,MATCH(CONDITIONS!$E$3,Len_DB!$C$8:$H$8,0)+1)</f>
        <v>Bending stiffness</v>
      </c>
      <c r="I212" s="179" t="s">
        <v>654</v>
      </c>
      <c r="J212" s="179"/>
      <c r="K212" s="273">
        <f>K210*K45</f>
        <v>60142011834.319534</v>
      </c>
      <c r="L212" s="249" t="s">
        <v>655</v>
      </c>
    </row>
    <row r="213" spans="2:12">
      <c r="B213" s="249" t="str" cm="1">
        <f t="array" ref="B213">INDEX(LEN_REPORT[],58,MATCH(CONDITIONS!$E$3,Len_DB!$C$8:$H$8,0)+1)</f>
        <v>Axial stiffness</v>
      </c>
      <c r="C213" s="179" t="s">
        <v>656</v>
      </c>
      <c r="D213" s="179"/>
      <c r="E213" s="273">
        <f>E210*E46</f>
        <v>199332952.63440672</v>
      </c>
      <c r="F213" s="249" t="s">
        <v>642</v>
      </c>
      <c r="H213" s="249" t="str" cm="1">
        <f t="array" ref="H213">INDEX(LEN_REPORT[],58,MATCH(CONDITIONS!$E$3,Len_DB!$C$8:$H$8,0)+1)</f>
        <v>Axial stiffness</v>
      </c>
      <c r="I213" s="179" t="s">
        <v>656</v>
      </c>
      <c r="J213" s="179"/>
      <c r="K213" s="273">
        <f>K210*K46</f>
        <v>85917159.763313621</v>
      </c>
      <c r="L213" s="249" t="s">
        <v>642</v>
      </c>
    </row>
    <row r="214" spans="2:12" ht="3" customHeight="1"/>
    <row r="215" spans="2:12">
      <c r="B215" s="178" t="str" cm="1">
        <f t="array" ref="B215">INDEX(LEN_REPORT[],30,MATCH(CONDITIONS!$E$3,Len_DB!$C$8:$H$8,0)+1)</f>
        <v>(2) Rib beam</v>
      </c>
      <c r="C215" s="178"/>
      <c r="D215" s="178"/>
      <c r="E215" s="178"/>
      <c r="F215" s="178"/>
      <c r="H215" s="178" t="str" cm="1">
        <f t="array" ref="H215">INDEX(LEN_REPORT[],30,MATCH(CONDITIONS!$E$3,Len_DB!$C$8:$H$8,0)+1)</f>
        <v>(2) Rib beam</v>
      </c>
      <c r="I215" s="178"/>
      <c r="J215" s="178"/>
      <c r="K215" s="178"/>
      <c r="L215" s="178"/>
    </row>
    <row r="216" spans="2:12" ht="6.75" customHeight="1">
      <c r="B216" s="117"/>
      <c r="C216" s="117"/>
      <c r="D216" s="117"/>
      <c r="E216" s="117"/>
      <c r="F216" s="117"/>
      <c r="H216" s="117"/>
      <c r="I216" s="117"/>
      <c r="J216" s="117"/>
      <c r="K216" s="117"/>
      <c r="L216" s="117"/>
    </row>
    <row r="217" spans="2:12">
      <c r="E217" s="274">
        <f>$C$102/(1+$E$150*E209)</f>
        <v>6804.7337278106515</v>
      </c>
      <c r="F217" s="249" t="s">
        <v>608</v>
      </c>
      <c r="K217" s="274">
        <f>$C$102/(1+$E$150*K209)</f>
        <v>6804.7337278106515</v>
      </c>
      <c r="L217" s="249" t="s">
        <v>608</v>
      </c>
    </row>
    <row r="218" spans="2:12"/>
    <row r="219" spans="2:12" ht="15">
      <c r="B219" s="249" t="str" cm="1">
        <f t="array" ref="B219">INDEX(LEN_REPORT[],57,MATCH(CONDITIONS!$E$3,Len_DB!$C$8:$H$8,0)+1)</f>
        <v>Bending stiffness</v>
      </c>
      <c r="C219" s="179" t="s">
        <v>657</v>
      </c>
      <c r="D219" s="179"/>
      <c r="E219" s="273">
        <f>E217*$K$116^3*$K$117/12</f>
        <v>2973033530571.9927</v>
      </c>
      <c r="F219" s="249" t="s">
        <v>655</v>
      </c>
      <c r="H219" s="249" t="str" cm="1">
        <f t="array" ref="H219">INDEX(LEN_REPORT[],57,MATCH(CONDITIONS!$E$3,Len_DB!$C$8:$H$8,0)+1)</f>
        <v>Bending stiffness</v>
      </c>
      <c r="I219" s="179" t="s">
        <v>657</v>
      </c>
      <c r="J219" s="179"/>
      <c r="K219" s="273">
        <f>K217*$K$116^3*$K$117/12</f>
        <v>2973033530571.9927</v>
      </c>
      <c r="L219" s="249" t="s">
        <v>655</v>
      </c>
    </row>
    <row r="220" spans="2:12">
      <c r="B220" s="249" t="str" cm="1">
        <f t="array" ref="B220">INDEX(LEN_REPORT[],58,MATCH(CONDITIONS!$E$3,Len_DB!$C$8:$H$8,0)+1)</f>
        <v>Axial stiffness</v>
      </c>
      <c r="C220" s="179" t="s">
        <v>658</v>
      </c>
      <c r="D220" s="179"/>
      <c r="E220" s="273">
        <f>E217*$K$116*$K$117</f>
        <v>348402366.86390531</v>
      </c>
      <c r="F220" s="249" t="s">
        <v>642</v>
      </c>
      <c r="H220" s="249" t="str" cm="1">
        <f t="array" ref="H220">INDEX(LEN_REPORT[],58,MATCH(CONDITIONS!$E$3,Len_DB!$C$8:$H$8,0)+1)</f>
        <v>Axial stiffness</v>
      </c>
      <c r="I220" s="179" t="s">
        <v>658</v>
      </c>
      <c r="J220" s="179"/>
      <c r="K220" s="273">
        <f>K217*$K$116*$K$117</f>
        <v>348402366.86390531</v>
      </c>
      <c r="L220" s="249" t="s">
        <v>642</v>
      </c>
    </row>
    <row r="221" spans="2:12" ht="3.75" customHeight="1">
      <c r="E221" s="273"/>
      <c r="F221" s="249"/>
      <c r="K221" s="273"/>
      <c r="L221" s="249"/>
    </row>
    <row r="222" spans="2:12">
      <c r="B222" s="178" t="str" cm="1">
        <f t="array" ref="B222">INDEX(LEN_REPORT[],64,MATCH(CONDITIONS!$E$3,Len_DB!$C$8:$H$8,0)+1)</f>
        <v>Composite system effective stiffness</v>
      </c>
      <c r="C222" s="178"/>
      <c r="D222" s="178"/>
      <c r="E222" s="178"/>
      <c r="F222" s="178"/>
      <c r="H222" s="178" t="str" cm="1">
        <f t="array" ref="H222">INDEX(LEN_REPORT[],64,MATCH(CONDITIONS!$E$3,Len_DB!$C$8:$H$8,0)+1)</f>
        <v>Composite system effective stiffness</v>
      </c>
      <c r="I222" s="178"/>
      <c r="J222" s="178"/>
      <c r="K222" s="178"/>
      <c r="L222" s="178"/>
    </row>
    <row r="223" spans="2:12" ht="7.5" customHeight="1"/>
    <row r="224" spans="2:12" ht="25.5">
      <c r="B224" s="267" t="str" cm="1">
        <f t="array" ref="B224">INDEX(LEN_REPORT[],61,MATCH(CONDITIONS!$E$3,Len_DB!$C$8:$H$8,0)+1)</f>
        <v>Composite bending stiffness</v>
      </c>
      <c r="C224" s="163"/>
      <c r="D224" s="163"/>
      <c r="E224" s="273">
        <f>E219+E212</f>
        <v>3112566597416.0771</v>
      </c>
      <c r="F224" s="249" t="s">
        <v>655</v>
      </c>
      <c r="H224" s="267" t="str" cm="1">
        <f t="array" ref="H224">INDEX(LEN_REPORT[],61,MATCH(CONDITIONS!$E$3,Len_DB!$C$8:$H$8,0)+1)</f>
        <v>Composite bending stiffness</v>
      </c>
      <c r="I224" s="163"/>
      <c r="J224" s="163"/>
      <c r="K224" s="273">
        <f>K219+K212</f>
        <v>3033175542406.312</v>
      </c>
      <c r="L224" s="249" t="s">
        <v>655</v>
      </c>
    </row>
    <row r="225" spans="2:12" ht="25.5">
      <c r="B225" s="267" t="str" cm="1">
        <f t="array" ref="B225">INDEX(LEN_REPORT[],62,MATCH(CONDITIONS!$E$3,Len_DB!$C$8:$H$8,0)+1)</f>
        <v>Composite axial stiffness</v>
      </c>
      <c r="C225" s="163"/>
      <c r="D225" s="163"/>
      <c r="E225" s="273">
        <f>(E220*E213)/(E220+E213)</f>
        <v>126791298.67945655</v>
      </c>
      <c r="F225" s="249" t="s">
        <v>642</v>
      </c>
      <c r="H225" s="267" t="str" cm="1">
        <f t="array" ref="H225">INDEX(LEN_REPORT[],62,MATCH(CONDITIONS!$E$3,Len_DB!$C$8:$H$8,0)+1)</f>
        <v>Composite axial stiffness</v>
      </c>
      <c r="I225" s="163"/>
      <c r="J225" s="163"/>
      <c r="K225" s="273">
        <f>(K220*K213)/(K220+K213)</f>
        <v>68921013.172532767</v>
      </c>
      <c r="L225" s="249" t="s">
        <v>642</v>
      </c>
    </row>
    <row r="226" spans="2:12" ht="7.5" customHeight="1"/>
    <row r="227" spans="2:12" ht="51">
      <c r="B227" s="267" t="str" cm="1">
        <f t="array" ref="B227">INDEX(LEN_REPORT[],63,MATCH(CONDITIONS!$E$3,Len_DB!$C$8:$H$8,0)+1)</f>
        <v>Distance between centres of mass of (1) and (2)</v>
      </c>
      <c r="E227" s="274">
        <f>E187</f>
        <v>200</v>
      </c>
      <c r="F227" s="249" t="s">
        <v>559</v>
      </c>
      <c r="H227" s="267" t="str" cm="1">
        <f t="array" ref="H227">INDEX(LEN_REPORT[],63,MATCH(CONDITIONS!$E$3,Len_DB!$C$8:$H$8,0)+1)</f>
        <v>Distance between centres of mass of (1) and (2)</v>
      </c>
      <c r="K227" s="274">
        <f>K187</f>
        <v>200</v>
      </c>
      <c r="L227" s="249" t="s">
        <v>559</v>
      </c>
    </row>
    <row r="228" spans="2:12" ht="7.5" customHeight="1"/>
    <row r="229" spans="2:12">
      <c r="B229" s="249" t="str" cm="1">
        <f t="array" ref="B229">INDEX(LEN_REPORT[],57,MATCH(CONDITIONS!$E$3,Len_DB!$C$8:$H$8,0)+1)</f>
        <v>Bending stiffness</v>
      </c>
      <c r="H229" s="249" t="str" cm="1">
        <f t="array" ref="H229">INDEX(LEN_REPORT[],57,MATCH(CONDITIONS!$E$3,Len_DB!$C$8:$H$8,0)+1)</f>
        <v>Bending stiffness</v>
      </c>
    </row>
    <row r="230" spans="2:12" ht="28.5" customHeight="1">
      <c r="C230" s="179"/>
      <c r="D230" s="179"/>
      <c r="E230" s="273">
        <f>E224+E225*E227^2</f>
        <v>8184218544594.3389</v>
      </c>
      <c r="F230" s="249" t="s">
        <v>655</v>
      </c>
      <c r="I230" s="179"/>
      <c r="J230" s="179"/>
      <c r="K230" s="273">
        <f>K224+K225*K227^2</f>
        <v>5790016069307.623</v>
      </c>
      <c r="L230" s="249" t="s">
        <v>655</v>
      </c>
    </row>
    <row r="231" spans="2:12" ht="37.5" customHeight="1">
      <c r="E231" s="275">
        <f>(1+3.14^2*E213*$K$143/E245/$E$119^2)^-1</f>
        <v>0.63444248597438901</v>
      </c>
      <c r="K231" s="275">
        <f>(1+3.14^2*K213*$K$143/K245/$E$119^2)^-1</f>
        <v>0.80105735735767791</v>
      </c>
    </row>
    <row r="232" spans="2:12" ht="7.5" customHeight="1"/>
    <row r="233" spans="2:12" ht="37.5" customHeight="1">
      <c r="E233" s="274">
        <f>(E231*E213*E227)/(E231*E213+E220)</f>
        <v>53.263384486667633</v>
      </c>
      <c r="F233" s="249" t="s">
        <v>559</v>
      </c>
      <c r="K233" s="274">
        <f>(K231*K213*K227)/(K231*K213+K220)</f>
        <v>32.991432903205329</v>
      </c>
      <c r="L233" s="249" t="s">
        <v>559</v>
      </c>
    </row>
    <row r="234" spans="2:12" ht="7.5" customHeight="1"/>
    <row r="235" spans="2:12">
      <c r="C235" s="179" t="s">
        <v>659</v>
      </c>
      <c r="D235" s="179"/>
      <c r="E235" s="274">
        <f>E227-E233</f>
        <v>146.73661551333237</v>
      </c>
      <c r="F235" s="249" t="s">
        <v>559</v>
      </c>
      <c r="I235" s="179" t="s">
        <v>659</v>
      </c>
      <c r="J235" s="179"/>
      <c r="K235" s="274">
        <f>K227-K233</f>
        <v>167.00856709679468</v>
      </c>
      <c r="L235" s="249" t="s">
        <v>559</v>
      </c>
    </row>
    <row r="236" spans="2:12" ht="7.5" customHeight="1"/>
    <row r="237" spans="2:12" ht="28.5" customHeight="1">
      <c r="B237"/>
      <c r="C237"/>
      <c r="D237"/>
      <c r="E237" s="273">
        <f>E212+E219+E220*E233^2+E213*E235^2*E231</f>
        <v>6823984441883.5205</v>
      </c>
      <c r="F237" s="249" t="s">
        <v>655</v>
      </c>
      <c r="G237"/>
      <c r="H237"/>
      <c r="I237"/>
      <c r="J237"/>
      <c r="K237" s="273">
        <f>K212+K219+K220*K233^2+K213*K235^2*K231</f>
        <v>5332034204348.0039</v>
      </c>
      <c r="L237" s="249" t="s">
        <v>655</v>
      </c>
    </row>
    <row r="238" spans="2:12" ht="15">
      <c r="B238"/>
      <c r="C238"/>
      <c r="D238"/>
      <c r="E238"/>
      <c r="F238"/>
      <c r="G238"/>
      <c r="H238"/>
      <c r="I238"/>
      <c r="J238"/>
      <c r="K238"/>
      <c r="L238"/>
    </row>
    <row r="239" spans="2:12" ht="15">
      <c r="B239" t="str" cm="1">
        <f t="array" ref="B239">INDEX(LEN_REPORT[],65,MATCH(CONDITIONS!$E$3,Len_DB!$C$8:$H$8,0)+1)</f>
        <v>Composite system efficency</v>
      </c>
      <c r="C239"/>
      <c r="D239"/>
      <c r="E239"/>
      <c r="F239"/>
      <c r="G239"/>
      <c r="H239" t="str" cm="1">
        <f t="array" ref="H239">INDEX(LEN_REPORT[],65,MATCH(CONDITIONS!$E$3,Len_DB!$C$8:$H$8,0)+1)</f>
        <v>Composite system efficency</v>
      </c>
      <c r="I239"/>
      <c r="J239"/>
      <c r="K239"/>
      <c r="L239"/>
    </row>
    <row r="240" spans="2:12" ht="7.5" customHeight="1">
      <c r="B240"/>
      <c r="C240"/>
      <c r="D240"/>
      <c r="E240"/>
      <c r="F240"/>
      <c r="G240"/>
      <c r="H240"/>
      <c r="I240"/>
      <c r="J240"/>
      <c r="K240"/>
      <c r="L240"/>
    </row>
    <row r="241" spans="2:12" ht="30" customHeight="1">
      <c r="B241"/>
      <c r="C241"/>
      <c r="D241"/>
      <c r="E241" s="276">
        <f>(E237-E224)/(E230-E224)</f>
        <v>0.7317966380820714</v>
      </c>
      <c r="F241"/>
      <c r="G241"/>
      <c r="H241"/>
      <c r="I241"/>
      <c r="J241"/>
      <c r="K241" s="276">
        <f>(K237-K224)/(K230-K224)</f>
        <v>0.83387437158928057</v>
      </c>
      <c r="L241"/>
    </row>
    <row r="242" spans="2:12" ht="7.5" customHeight="1">
      <c r="B242"/>
      <c r="C242"/>
      <c r="D242"/>
      <c r="E242" s="276"/>
      <c r="F242"/>
      <c r="G242"/>
      <c r="H242"/>
      <c r="I242"/>
      <c r="J242"/>
      <c r="K242" s="276"/>
      <c r="L242"/>
    </row>
    <row r="243" spans="2:12" ht="15">
      <c r="B243" s="178" t="str" cm="1">
        <f t="array" ref="B243">INDEX(LEN_REPORT[],66,MATCH(CONDITIONS!$E$3,Len_DB!$C$8:$H$8,0)+1)</f>
        <v>Connection stiffness</v>
      </c>
      <c r="C243" s="178"/>
      <c r="D243" s="178"/>
      <c r="E243" s="178"/>
      <c r="F243" s="178"/>
      <c r="G243"/>
      <c r="H243" s="178" t="str" cm="1">
        <f t="array" ref="H243">INDEX(LEN_REPORT[],66,MATCH(CONDITIONS!$E$3,Len_DB!$C$8:$H$8,0)+1)</f>
        <v>Connection stiffness</v>
      </c>
      <c r="I243" s="178"/>
      <c r="J243" s="178"/>
      <c r="K243" s="178"/>
      <c r="L243" s="178"/>
    </row>
    <row r="244" spans="2:12" ht="3.75" customHeight="1"/>
    <row r="245" spans="2:12" ht="28.5" customHeight="1">
      <c r="E245" s="273">
        <f>$K$142/(1+$E$150*E209)</f>
        <v>94748.52071005918</v>
      </c>
      <c r="F245" s="249" t="s">
        <v>637</v>
      </c>
      <c r="K245" s="273">
        <f>$K$142/(1+$E$150*K209)</f>
        <v>94748.52071005918</v>
      </c>
      <c r="L245" s="249" t="s">
        <v>637</v>
      </c>
    </row>
    <row r="246" spans="2:12" ht="3.75" customHeight="1">
      <c r="E246" s="273"/>
      <c r="F246" s="249"/>
    </row>
    <row r="247" spans="2:12" ht="155.25" customHeight="1">
      <c r="B247" s="216"/>
      <c r="C247" s="216"/>
      <c r="D247" s="216"/>
      <c r="E247" s="216"/>
      <c r="F247" s="216"/>
      <c r="H247" s="216"/>
      <c r="I247" s="216"/>
      <c r="J247" s="216"/>
      <c r="K247" s="216"/>
      <c r="L247" s="216"/>
    </row>
    <row r="248" spans="2:12" ht="37.5" customHeight="1">
      <c r="B248"/>
      <c r="C248"/>
      <c r="D248"/>
      <c r="E248"/>
      <c r="F248"/>
      <c r="G248"/>
      <c r="H248"/>
    </row>
    <row r="249" spans="2:12" ht="45" customHeight="1">
      <c r="B249"/>
      <c r="C249"/>
      <c r="D249"/>
      <c r="E249"/>
      <c r="F249"/>
      <c r="G249"/>
      <c r="H249"/>
    </row>
    <row r="250" spans="2:12" ht="30" customHeight="1">
      <c r="B250" s="215" t="str" cm="1">
        <f t="array" ref="B250">INDEX(LEN_REPORT[],67,MATCH(CONDITIONS!$E$3,Len_DB!$C$8:$H$8,0)+1)</f>
        <v>Elements stiffness at mid span at ULS
[g+q] (t = ∞)</v>
      </c>
      <c r="C250" s="215"/>
      <c r="D250" s="215"/>
      <c r="E250" s="215"/>
      <c r="F250" s="215"/>
      <c r="G250"/>
      <c r="H250" s="215" t="str" cm="1">
        <f t="array" ref="H250">INDEX(LEN_REPORT[],76,MATCH(CONDITIONS!$E$3,Len_DB!$C$8:$H$8,0)+1)</f>
        <v>Elements stiffness at support at ULS
[g+q] (t = ∞)</v>
      </c>
      <c r="I250" s="215"/>
      <c r="J250" s="215"/>
      <c r="K250" s="215"/>
      <c r="L250" s="215"/>
    </row>
    <row r="251" spans="2:12" ht="3.75" customHeight="1"/>
    <row r="252" spans="2:12">
      <c r="B252" s="178" t="str" cm="1">
        <f t="array" ref="B252">INDEX(LEN_REPORT[],27,MATCH(CONDITIONS!$E$3,Len_DB!$C$8:$H$8,0)+1)</f>
        <v>(1) Slab</v>
      </c>
      <c r="C252" s="178"/>
      <c r="D252" s="178"/>
      <c r="E252" s="178"/>
      <c r="F252" s="178"/>
      <c r="G252" s="117"/>
      <c r="H252" s="178" t="str" cm="1">
        <f t="array" ref="H252">INDEX(LEN_REPORT[],27,MATCH(CONDITIONS!$E$3,Len_DB!$C$8:$H$8,0)+1)</f>
        <v>(1) Slab</v>
      </c>
      <c r="I252" s="178"/>
      <c r="J252" s="178"/>
      <c r="K252" s="178"/>
      <c r="L252" s="178"/>
    </row>
    <row r="253" spans="2:12" ht="7.5" customHeight="1">
      <c r="B253" s="117"/>
      <c r="C253" s="117"/>
      <c r="D253" s="117"/>
      <c r="E253" s="117"/>
      <c r="F253" s="117"/>
      <c r="G253" s="117"/>
      <c r="H253" s="117"/>
      <c r="I253" s="117"/>
      <c r="J253" s="117"/>
      <c r="K253" s="117"/>
      <c r="L253" s="117"/>
    </row>
    <row r="254" spans="2:12">
      <c r="C254" s="217" t="s">
        <v>660</v>
      </c>
      <c r="D254" s="179"/>
      <c r="E254" s="254">
        <f>$E$52</f>
        <v>0.3</v>
      </c>
      <c r="I254" s="217" t="s">
        <v>660</v>
      </c>
      <c r="J254" s="179"/>
      <c r="K254" s="254">
        <f>$E$52</f>
        <v>0.3</v>
      </c>
    </row>
    <row r="255" spans="2:12" ht="28.5" customHeight="1">
      <c r="E255" s="274">
        <f>$C$80/(1+E254*$E$150)</f>
        <v>9113.5045567522775</v>
      </c>
      <c r="F255" s="249" t="s">
        <v>608</v>
      </c>
      <c r="K255" s="274">
        <f>$C$80/(1+K254*$E$150)</f>
        <v>9113.5045567522775</v>
      </c>
      <c r="L255" s="249" t="s">
        <v>608</v>
      </c>
    </row>
    <row r="256" spans="2:12" ht="7.5" customHeight="1"/>
    <row r="257" spans="2:12" ht="15">
      <c r="B257" s="249" t="str" cm="1">
        <f t="array" ref="B257">INDEX(LEN_REPORT[],57,MATCH(CONDITIONS!$E$3,Len_DB!$C$8:$H$8,0)+1)</f>
        <v>Bending stiffness</v>
      </c>
      <c r="C257" s="179" t="s">
        <v>654</v>
      </c>
      <c r="D257" s="179"/>
      <c r="E257" s="273">
        <f>E255*E45</f>
        <v>195369414222.45493</v>
      </c>
      <c r="F257" s="249" t="s">
        <v>655</v>
      </c>
      <c r="H257" s="249" t="str" cm="1">
        <f t="array" ref="H257">INDEX(LEN_REPORT[],57,MATCH(CONDITIONS!$E$3,Len_DB!$C$8:$H$8,0)+1)</f>
        <v>Bending stiffness</v>
      </c>
      <c r="I257" s="179" t="s">
        <v>654</v>
      </c>
      <c r="J257" s="179"/>
      <c r="K257" s="273">
        <f>K255*K45</f>
        <v>84208782104.391037</v>
      </c>
      <c r="L257" s="249" t="s">
        <v>655</v>
      </c>
    </row>
    <row r="258" spans="2:12">
      <c r="B258" s="249" t="str" cm="1">
        <f t="array" ref="B258">INDEX(LEN_REPORT[],58,MATCH(CONDITIONS!$E$3,Len_DB!$C$8:$H$8,0)+1)</f>
        <v>Axial stiffness</v>
      </c>
      <c r="C258" s="179" t="s">
        <v>656</v>
      </c>
      <c r="D258" s="179"/>
      <c r="E258" s="273">
        <f>E255*E46</f>
        <v>279099163.17493564</v>
      </c>
      <c r="F258" s="249" t="s">
        <v>642</v>
      </c>
      <c r="H258" s="249" t="str" cm="1">
        <f t="array" ref="H258">INDEX(LEN_REPORT[],58,MATCH(CONDITIONS!$E$3,Len_DB!$C$8:$H$8,0)+1)</f>
        <v>Axial stiffness</v>
      </c>
      <c r="I258" s="179" t="s">
        <v>656</v>
      </c>
      <c r="J258" s="179"/>
      <c r="K258" s="273">
        <f>K255*K46</f>
        <v>120298260.14913006</v>
      </c>
      <c r="L258" s="249" t="s">
        <v>642</v>
      </c>
    </row>
    <row r="259" spans="2:12" ht="3.75" customHeight="1"/>
    <row r="260" spans="2:12">
      <c r="B260" s="178" t="str" cm="1">
        <f t="array" ref="B260">INDEX(LEN_REPORT[],30,MATCH(CONDITIONS!$E$3,Len_DB!$C$8:$H$8,0)+1)</f>
        <v>(2) Rib beam</v>
      </c>
      <c r="C260" s="178"/>
      <c r="D260" s="178"/>
      <c r="E260" s="178"/>
      <c r="F260" s="178"/>
      <c r="H260" s="178" t="str" cm="1">
        <f t="array" ref="H260">INDEX(LEN_REPORT[],30,MATCH(CONDITIONS!$E$3,Len_DB!$C$8:$H$8,0)+1)</f>
        <v>(2) Rib beam</v>
      </c>
      <c r="I260" s="178"/>
      <c r="J260" s="178"/>
      <c r="K260" s="178"/>
      <c r="L260" s="178"/>
    </row>
    <row r="261" spans="2:12" ht="9" customHeight="1">
      <c r="B261" s="117"/>
      <c r="C261" s="117"/>
      <c r="D261" s="117"/>
      <c r="E261" s="117"/>
      <c r="F261" s="117"/>
      <c r="H261" s="117"/>
      <c r="I261" s="117"/>
      <c r="J261" s="117"/>
      <c r="K261" s="117"/>
      <c r="L261" s="117"/>
    </row>
    <row r="262" spans="2:12">
      <c r="E262" s="254">
        <f>$C$102/(1+$E$150*E254)</f>
        <v>9527.7547638773813</v>
      </c>
      <c r="F262" s="249" t="s">
        <v>608</v>
      </c>
      <c r="K262" s="254">
        <f>$C$102/(1+$E$150*K254)</f>
        <v>9527.7547638773813</v>
      </c>
      <c r="L262" s="249" t="s">
        <v>608</v>
      </c>
    </row>
    <row r="263" spans="2:12"/>
    <row r="264" spans="2:12" ht="15">
      <c r="B264" s="249" t="str" cm="1">
        <f t="array" ref="B264">INDEX(LEN_REPORT[],57,MATCH(CONDITIONS!$E$3,Len_DB!$C$8:$H$8,0)+1)</f>
        <v>Bending stiffness</v>
      </c>
      <c r="C264" s="179" t="s">
        <v>657</v>
      </c>
      <c r="D264" s="179"/>
      <c r="E264" s="273">
        <f>E262*$K$116^3*$K$117/12</f>
        <v>4162739574703.1196</v>
      </c>
      <c r="F264" s="249" t="s">
        <v>655</v>
      </c>
      <c r="H264" s="249" t="str" cm="1">
        <f t="array" ref="H264">INDEX(LEN_REPORT[],57,MATCH(CONDITIONS!$E$3,Len_DB!$C$8:$H$8,0)+1)</f>
        <v>Bending stiffness</v>
      </c>
      <c r="I264" s="179" t="s">
        <v>657</v>
      </c>
      <c r="J264" s="179"/>
      <c r="K264" s="273">
        <f>K262*$K$116^3*$K$117/12</f>
        <v>4162739574703.1196</v>
      </c>
      <c r="L264" s="249" t="s">
        <v>655</v>
      </c>
    </row>
    <row r="265" spans="2:12">
      <c r="B265" s="249" t="str" cm="1">
        <f t="array" ref="B265">INDEX(LEN_REPORT[],58,MATCH(CONDITIONS!$E$3,Len_DB!$C$8:$H$8,0)+1)</f>
        <v>Axial stiffness</v>
      </c>
      <c r="C265" s="179" t="s">
        <v>658</v>
      </c>
      <c r="D265" s="179"/>
      <c r="E265" s="273">
        <f>E262*$K$116*$K$117</f>
        <v>487821043.91052192</v>
      </c>
      <c r="F265" s="249" t="s">
        <v>642</v>
      </c>
      <c r="H265" s="249" t="str" cm="1">
        <f t="array" ref="H265">INDEX(LEN_REPORT[],58,MATCH(CONDITIONS!$E$3,Len_DB!$C$8:$H$8,0)+1)</f>
        <v>Axial stiffness</v>
      </c>
      <c r="I265" s="179" t="s">
        <v>658</v>
      </c>
      <c r="J265" s="179"/>
      <c r="K265" s="273">
        <f>K262*$K$116*$K$117</f>
        <v>487821043.91052192</v>
      </c>
      <c r="L265" s="249" t="s">
        <v>642</v>
      </c>
    </row>
    <row r="266" spans="2:12" ht="3.75" customHeight="1"/>
    <row r="267" spans="2:12">
      <c r="B267" s="178" t="str" cm="1">
        <f t="array" ref="B267">INDEX(LEN_REPORT[],64,MATCH(CONDITIONS!$E$3,Len_DB!$C$8:$H$8,0)+1)</f>
        <v>Composite system effective stiffness</v>
      </c>
      <c r="C267" s="178"/>
      <c r="D267" s="178"/>
      <c r="E267" s="178"/>
      <c r="F267" s="178"/>
      <c r="H267" s="178" t="str" cm="1">
        <f t="array" ref="H267">INDEX(LEN_REPORT[],64,MATCH(CONDITIONS!$E$3,Len_DB!$C$8:$H$8,0)+1)</f>
        <v>Composite system effective stiffness</v>
      </c>
      <c r="I267" s="178"/>
      <c r="J267" s="178"/>
      <c r="K267" s="178"/>
      <c r="L267" s="178"/>
    </row>
    <row r="268" spans="2:12" ht="7.5" customHeight="1"/>
    <row r="269" spans="2:12" ht="25.5">
      <c r="B269" s="267" t="str" cm="1">
        <f t="array" ref="B269">INDEX(LEN_REPORT[],61,MATCH(CONDITIONS!$E$3,Len_DB!$C$8:$H$8,0)+1)</f>
        <v>Composite bending stiffness</v>
      </c>
      <c r="C269" s="163"/>
      <c r="D269" s="163"/>
      <c r="E269" s="273">
        <f>E264+E257</f>
        <v>4358108988925.5747</v>
      </c>
      <c r="F269" s="249" t="s">
        <v>655</v>
      </c>
      <c r="H269" s="267" t="str" cm="1">
        <f t="array" ref="H269">INDEX(LEN_REPORT[],61,MATCH(CONDITIONS!$E$3,Len_DB!$C$8:$H$8,0)+1)</f>
        <v>Composite bending stiffness</v>
      </c>
      <c r="I269" s="163"/>
      <c r="J269" s="163"/>
      <c r="K269" s="273">
        <f>K264+K257</f>
        <v>4246948356807.5107</v>
      </c>
      <c r="L269" s="249" t="s">
        <v>655</v>
      </c>
    </row>
    <row r="270" spans="2:12" ht="25.5">
      <c r="B270" s="267" t="str" cm="1">
        <f t="array" ref="B270">INDEX(LEN_REPORT[],62,MATCH(CONDITIONS!$E$3,Len_DB!$C$8:$H$8,0)+1)</f>
        <v>Composite axial stiffness</v>
      </c>
      <c r="C270" s="163"/>
      <c r="D270" s="163"/>
      <c r="E270" s="273">
        <f>(E265*E258)/(E265+E258)</f>
        <v>177528827.47993499</v>
      </c>
      <c r="F270" s="249" t="s">
        <v>642</v>
      </c>
      <c r="H270" s="267" t="str" cm="1">
        <f t="array" ref="H270">INDEX(LEN_REPORT[],62,MATCH(CONDITIONS!$E$3,Len_DB!$C$8:$H$8,0)+1)</f>
        <v>Composite axial stiffness</v>
      </c>
      <c r="I270" s="163"/>
      <c r="J270" s="163"/>
      <c r="K270" s="273">
        <f>(K265*K258)/(K265+K258)</f>
        <v>96500838.65913868</v>
      </c>
      <c r="L270" s="249" t="s">
        <v>642</v>
      </c>
    </row>
    <row r="271" spans="2:12" ht="7.5" customHeight="1"/>
    <row r="272" spans="2:12" ht="51">
      <c r="B272" s="267" t="str" cm="1">
        <f t="array" ref="B272">INDEX(LEN_REPORT[],63,MATCH(CONDITIONS!$E$3,Len_DB!$C$8:$H$8,0)+1)</f>
        <v>Distance between centres of mass of (1) and (2)</v>
      </c>
      <c r="E272" s="254">
        <f>E187</f>
        <v>200</v>
      </c>
      <c r="F272" s="249" t="s">
        <v>559</v>
      </c>
      <c r="H272" s="267" t="str" cm="1">
        <f t="array" ref="H272">INDEX(LEN_REPORT[],63,MATCH(CONDITIONS!$E$3,Len_DB!$C$8:$H$8,0)+1)</f>
        <v>Distance between centres of mass of (1) and (2)</v>
      </c>
      <c r="K272" s="254">
        <f>K187</f>
        <v>200</v>
      </c>
      <c r="L272" s="249" t="s">
        <v>559</v>
      </c>
    </row>
    <row r="273" spans="2:12" ht="7.5" customHeight="1"/>
    <row r="274" spans="2:12">
      <c r="B274" s="249" t="str" cm="1">
        <f t="array" ref="B274">INDEX(LEN_REPORT[],57,MATCH(CONDITIONS!$E$3,Len_DB!$C$8:$H$8,0)+1)</f>
        <v>Bending stiffness</v>
      </c>
      <c r="H274" s="249" t="str" cm="1">
        <f t="array" ref="H274">INDEX(LEN_REPORT[],57,MATCH(CONDITIONS!$E$3,Len_DB!$C$8:$H$8,0)+1)</f>
        <v>Bending stiffness</v>
      </c>
    </row>
    <row r="275" spans="2:12" ht="28.5" customHeight="1">
      <c r="C275" s="179"/>
      <c r="D275" s="179"/>
      <c r="E275" s="273">
        <f>E269+E270*E272^2</f>
        <v>11459262088122.975</v>
      </c>
      <c r="F275" s="249" t="s">
        <v>655</v>
      </c>
      <c r="I275" s="179"/>
      <c r="J275" s="179"/>
      <c r="K275" s="273">
        <f>K269+K270*K272^2</f>
        <v>8106981903173.0586</v>
      </c>
      <c r="L275" s="249" t="s">
        <v>655</v>
      </c>
    </row>
    <row r="276" spans="2:12" ht="37.5" customHeight="1">
      <c r="E276" s="275">
        <f>(1+3.14^2*E258*$K$143/E290/$E$119^2)^-1</f>
        <v>0.63444248597438913</v>
      </c>
      <c r="K276" s="275">
        <f>(1+3.14^2*K258*$K$143/K290/$E$119^2)^-1</f>
        <v>0.80105735735767791</v>
      </c>
    </row>
    <row r="277" spans="2:12" ht="7.5" customHeight="1"/>
    <row r="278" spans="2:12" ht="37.5" customHeight="1">
      <c r="E278" s="274">
        <f>(E276*E258*E272)/(E276*E258+E265)</f>
        <v>53.263384486667633</v>
      </c>
      <c r="F278" s="249" t="s">
        <v>559</v>
      </c>
      <c r="K278" s="274">
        <f>(K276*K258*K272)/(K276*K258+K265)</f>
        <v>32.991432903205322</v>
      </c>
      <c r="L278" s="249" t="s">
        <v>559</v>
      </c>
    </row>
    <row r="279" spans="2:12" ht="7.5" customHeight="1"/>
    <row r="280" spans="2:12">
      <c r="C280" s="179" t="s">
        <v>659</v>
      </c>
      <c r="D280" s="179"/>
      <c r="E280" s="274">
        <f>E272-E278</f>
        <v>146.73661551333237</v>
      </c>
      <c r="F280" s="249" t="s">
        <v>559</v>
      </c>
      <c r="I280" s="179" t="s">
        <v>659</v>
      </c>
      <c r="J280" s="179"/>
      <c r="K280" s="274">
        <f>K272-K278</f>
        <v>167.00856709679468</v>
      </c>
      <c r="L280" s="249" t="s">
        <v>559</v>
      </c>
    </row>
    <row r="281" spans="2:12" ht="7.5" customHeight="1"/>
    <row r="282" spans="2:12" ht="28.5" customHeight="1">
      <c r="B282"/>
      <c r="C282"/>
      <c r="D282"/>
      <c r="E282" s="273">
        <f>E257+E264+E265*E278^2+E258*E280^2*E276</f>
        <v>9554708953424.3145</v>
      </c>
      <c r="F282" s="249" t="s">
        <v>655</v>
      </c>
      <c r="G282"/>
      <c r="H282"/>
      <c r="I282"/>
      <c r="J282"/>
      <c r="K282" s="273">
        <f>K257+K264+K265*K278^2+K258*K280^2*K276</f>
        <v>7465731404596.623</v>
      </c>
      <c r="L282" s="249" t="s">
        <v>655</v>
      </c>
    </row>
    <row r="283" spans="2:12" ht="15">
      <c r="B283"/>
      <c r="C283"/>
      <c r="D283"/>
      <c r="E283"/>
      <c r="F283"/>
      <c r="G283"/>
      <c r="H283"/>
      <c r="I283"/>
      <c r="J283"/>
      <c r="K283"/>
      <c r="L283"/>
    </row>
    <row r="284" spans="2:12" ht="15">
      <c r="B284" t="str" cm="1">
        <f t="array" ref="B284">INDEX(LEN_REPORT[],65,MATCH(CONDITIONS!$E$3,Len_DB!$C$8:$H$8,0)+1)</f>
        <v>Composite system efficency</v>
      </c>
      <c r="C284"/>
      <c r="D284"/>
      <c r="E284"/>
      <c r="F284"/>
      <c r="G284"/>
      <c r="H284" t="str" cm="1">
        <f t="array" ref="H284">INDEX(LEN_REPORT[],65,MATCH(CONDITIONS!$E$3,Len_DB!$C$8:$H$8,0)+1)</f>
        <v>Composite system efficency</v>
      </c>
      <c r="I284"/>
      <c r="J284"/>
      <c r="K284"/>
      <c r="L284"/>
    </row>
    <row r="285" spans="2:12" ht="7.5" customHeight="1">
      <c r="B285"/>
      <c r="C285"/>
      <c r="D285"/>
      <c r="E285"/>
      <c r="F285"/>
      <c r="G285"/>
      <c r="H285"/>
      <c r="I285"/>
      <c r="J285"/>
      <c r="K285"/>
      <c r="L285"/>
    </row>
    <row r="286" spans="2:12" ht="30" customHeight="1">
      <c r="B286"/>
      <c r="C286"/>
      <c r="D286"/>
      <c r="E286" s="276">
        <f>(E282-E269)/(E275-E269)</f>
        <v>0.73179663808207152</v>
      </c>
      <c r="F286"/>
      <c r="G286"/>
      <c r="H286"/>
      <c r="I286"/>
      <c r="J286"/>
      <c r="K286" s="276">
        <f>(K282-K269)/(K275-K269)</f>
        <v>0.83387437158928035</v>
      </c>
      <c r="L286"/>
    </row>
    <row r="287" spans="2:12" ht="3.75" customHeight="1"/>
    <row r="288" spans="2:12" ht="15">
      <c r="B288" s="178" t="str" cm="1">
        <f t="array" ref="B288">INDEX(LEN_REPORT[],66,MATCH(CONDITIONS!$E$3,Len_DB!$C$8:$H$8,0)+1)</f>
        <v>Connection stiffness</v>
      </c>
      <c r="C288" s="178"/>
      <c r="D288" s="178"/>
      <c r="E288" s="178"/>
      <c r="F288" s="178"/>
      <c r="G288"/>
      <c r="H288" s="178" t="str" cm="1">
        <f t="array" ref="H288">INDEX(LEN_REPORT[],66,MATCH(CONDITIONS!$E$3,Len_DB!$C$8:$H$8,0)+1)</f>
        <v>Connection stiffness</v>
      </c>
      <c r="I288" s="178"/>
      <c r="J288" s="178"/>
      <c r="K288" s="178"/>
      <c r="L288" s="178"/>
    </row>
    <row r="289" spans="2:12" ht="3.75" customHeight="1"/>
    <row r="290" spans="2:12" ht="28.5" customHeight="1">
      <c r="E290" s="273">
        <f>$K$142/(1+$E$150*E254)</f>
        <v>132663.62883181442</v>
      </c>
      <c r="F290" s="249" t="s">
        <v>637</v>
      </c>
      <c r="K290" s="273">
        <f>$K$142/(1+$E$150*K254)</f>
        <v>132663.62883181442</v>
      </c>
      <c r="L290" s="249" t="s">
        <v>637</v>
      </c>
    </row>
    <row r="291" spans="2:12" ht="3.75" customHeight="1">
      <c r="B291"/>
      <c r="C291"/>
      <c r="D291"/>
      <c r="E291"/>
      <c r="F291"/>
      <c r="G291"/>
      <c r="H291"/>
    </row>
    <row r="292" spans="2:12" ht="155.25" customHeight="1">
      <c r="B292" s="227"/>
      <c r="C292" s="227"/>
      <c r="D292" s="227"/>
      <c r="E292" s="227"/>
      <c r="F292" s="227"/>
      <c r="G292"/>
      <c r="H292" s="227"/>
      <c r="I292" s="227"/>
      <c r="J292" s="227"/>
      <c r="K292" s="227"/>
      <c r="L292" s="227"/>
    </row>
    <row r="293" spans="2:12" ht="37.5" customHeight="1">
      <c r="B293"/>
      <c r="C293"/>
      <c r="D293"/>
      <c r="E293"/>
      <c r="F293"/>
      <c r="G293"/>
      <c r="H293"/>
    </row>
    <row r="294" spans="2:12" ht="45" customHeight="1">
      <c r="G294" s="254"/>
    </row>
    <row r="295" spans="2:12" ht="30" customHeight="1">
      <c r="B295" s="215" t="str" cm="1">
        <f t="array" ref="B295">INDEX(LEN_REPORT[],68,MATCH(CONDITIONS!$E$3,Len_DB!$C$8:$H$8,0)+1)</f>
        <v>Elements verification at ULS
[g+q] (t = 0)</v>
      </c>
      <c r="C295" s="215"/>
      <c r="D295" s="215"/>
      <c r="E295" s="215"/>
      <c r="F295" s="215"/>
      <c r="G295" s="215"/>
      <c r="H295" s="215"/>
      <c r="I295" s="215"/>
      <c r="J295" s="215"/>
      <c r="K295" s="215"/>
      <c r="L295" s="215"/>
    </row>
    <row r="296" spans="2:12" ht="3.75" customHeight="1"/>
    <row r="297" spans="2:12">
      <c r="B297" s="178" t="str" cm="1">
        <f t="array" ref="B297">INDEX(LEN_REPORT[],27,MATCH(CONDITIONS!$E$3,Len_DB!$C$8:$H$8,0)+1)</f>
        <v>(1) Slab</v>
      </c>
      <c r="C297" s="178"/>
      <c r="D297" s="178"/>
      <c r="E297" s="178"/>
      <c r="F297" s="178"/>
      <c r="G297" s="117"/>
      <c r="H297" s="178" t="str" cm="1">
        <f t="array" ref="H297">INDEX(LEN_REPORT[],30,MATCH(CONDITIONS!$E$3,Len_DB!$C$8:$H$8,0)+1)</f>
        <v>(2) Rib beam</v>
      </c>
      <c r="I297" s="178"/>
      <c r="J297" s="178"/>
      <c r="K297" s="178"/>
      <c r="L297" s="178"/>
    </row>
    <row r="298" spans="2:12" ht="7.5" customHeight="1">
      <c r="B298" s="117"/>
      <c r="C298" s="117"/>
      <c r="D298" s="117"/>
      <c r="E298" s="117"/>
      <c r="F298" s="117"/>
      <c r="G298" s="117"/>
      <c r="H298" s="117"/>
      <c r="I298" s="117"/>
      <c r="J298" s="117"/>
      <c r="K298" s="117"/>
      <c r="L298" s="117"/>
    </row>
    <row r="299" spans="2:12" ht="14.25" customHeight="1">
      <c r="B299" s="271" t="str" cm="1">
        <f t="array" ref="B299">INDEX(LEN_REPORT[],69,MATCH(CONDITIONS!$E$3,Len_DB!$C$8:$H$8,0)+1)</f>
        <v>Axial load on element (1)</v>
      </c>
      <c r="C299" s="271"/>
      <c r="D299" s="271"/>
      <c r="E299" s="254"/>
      <c r="H299" s="271" t="str" cm="1">
        <f t="array" ref="H299">INDEX(LEN_REPORT[],80,MATCH(CONDITIONS!$E$3,Len_DB!$C$8:$H$8,0)+1)</f>
        <v>Axial load on element (2)</v>
      </c>
      <c r="I299" s="271"/>
      <c r="J299" s="271"/>
      <c r="K299" s="254"/>
    </row>
    <row r="300" spans="2:12" ht="30" customHeight="1">
      <c r="E300" s="275">
        <f>E194*E175*E196/E198*K167*10^3</f>
        <v>53.250455796643557</v>
      </c>
      <c r="F300" s="249" t="s">
        <v>653</v>
      </c>
      <c r="G300" s="254"/>
      <c r="K300" s="275">
        <f>1*E180*E195/E198*K167*10^3</f>
        <v>53.250455796643564</v>
      </c>
      <c r="L300" s="249" t="s">
        <v>653</v>
      </c>
    </row>
    <row r="301" spans="2:12" ht="7.5" customHeight="1">
      <c r="G301" s="254"/>
    </row>
    <row r="302" spans="2:12" ht="14.25" customHeight="1">
      <c r="B302" s="271" t="str" cm="1">
        <f t="array" ref="B302">INDEX(LEN_REPORT[],70,MATCH(CONDITIONS!$E$3,Len_DB!$C$8:$H$8,0)+1)</f>
        <v>Bending moment on element (1)</v>
      </c>
      <c r="C302" s="271"/>
      <c r="D302" s="271"/>
      <c r="E302" s="254"/>
      <c r="H302" s="271" t="str" cm="1">
        <f t="array" ref="H302">INDEX(LEN_REPORT[],81,MATCH(CONDITIONS!$E$3,Len_DB!$C$8:$H$8,0)+1)</f>
        <v>Bending moment on element (2)</v>
      </c>
      <c r="I302" s="271"/>
      <c r="J302" s="271"/>
      <c r="K302" s="254"/>
    </row>
    <row r="303" spans="2:12" ht="30" customHeight="1">
      <c r="E303" s="275">
        <f>E174/E198*K167</f>
        <v>0.40039681434560831</v>
      </c>
      <c r="F303" s="249" t="s">
        <v>652</v>
      </c>
      <c r="G303" s="254"/>
      <c r="K303" s="275">
        <f>E179/E198*K167</f>
        <v>8.5312620263256793</v>
      </c>
      <c r="L303" s="249" t="s">
        <v>652</v>
      </c>
    </row>
    <row r="304" spans="2:12" ht="7.5" customHeight="1">
      <c r="F304" s="249"/>
      <c r="G304" s="254"/>
    </row>
    <row r="305" spans="2:12" ht="30" customHeight="1">
      <c r="B305" s="249" t="str" cm="1">
        <f t="array" ref="B305">INDEX(LEN_REPORT[],71,MATCH(CONDITIONS!$E$3,Len_DB!$C$8:$H$8,0)+1)</f>
        <v>Axial load stress</v>
      </c>
      <c r="E305" s="275">
        <f>E300*10^3/E46</f>
        <v>1.7388023168226712</v>
      </c>
      <c r="F305" s="249" t="s">
        <v>608</v>
      </c>
      <c r="G305" s="254"/>
      <c r="H305" s="249" t="str" cm="1">
        <f t="array" ref="H305">INDEX(LEN_REPORT[],71,MATCH(CONDITIONS!$E$3,Len_DB!$C$8:$H$8,0)+1)</f>
        <v>Axial load stress</v>
      </c>
      <c r="K305" s="275">
        <f>K300*1000/K116/K117</f>
        <v>1.0400479647781946</v>
      </c>
      <c r="L305" s="249" t="s">
        <v>608</v>
      </c>
    </row>
    <row r="306" spans="2:12" ht="30" customHeight="1">
      <c r="B306" s="267" t="str" cm="1">
        <f t="array" ref="B306">INDEX(LEN_REPORT[],72,MATCH(CONDITIONS!$E$3,Len_DB!$C$8:$H$8,0)+1)</f>
        <v>Bending moment stress</v>
      </c>
      <c r="E306" s="275">
        <f>10^6*E303*E116/2/E45</f>
        <v>0.74710121982407918</v>
      </c>
      <c r="F306" s="249" t="s">
        <v>608</v>
      </c>
      <c r="G306" s="254"/>
      <c r="H306" s="267" t="str" cm="1">
        <f t="array" ref="H306">INDEX(LEN_REPORT[],72,MATCH(CONDITIONS!$E$3,Len_DB!$C$8:$H$8,0)+1)</f>
        <v>Bending moment stress</v>
      </c>
      <c r="K306" s="275">
        <f>K303*10^6*6/K117/K116^2</f>
        <v>3.1242414647188763</v>
      </c>
      <c r="L306" s="249" t="s">
        <v>608</v>
      </c>
    </row>
    <row r="307" spans="2:12" ht="7.5" customHeight="1">
      <c r="G307" s="254"/>
      <c r="K307" s="254"/>
    </row>
    <row r="308" spans="2:12">
      <c r="B308" s="277" t="str" cm="1">
        <f t="array" ref="B308">INDEX(LEN_REPORT[],73,MATCH(CONDITIONS!$E$3,Len_DB!$C$8:$H$8,0)+1)</f>
        <v>Combined compression and bending</v>
      </c>
      <c r="C308" s="277"/>
      <c r="D308" s="277"/>
      <c r="G308" s="254"/>
      <c r="H308" s="277" t="str" cm="1">
        <f t="array" ref="H308">INDEX(LEN_REPORT[],82,MATCH(CONDITIONS!$E$3,Len_DB!$C$8:$H$8,0)+1)</f>
        <v>Combined tension and bending</v>
      </c>
      <c r="I308" s="277"/>
      <c r="J308" s="277"/>
    </row>
    <row r="309" spans="2:12" ht="30" customHeight="1">
      <c r="E309" s="164">
        <f>E305/I75+E306/I72</f>
        <v>0.17801457471493604</v>
      </c>
      <c r="F309" s="249"/>
      <c r="G309" s="254"/>
      <c r="K309" s="164">
        <f>K305/I95+K306/I94</f>
        <v>0.28804045707627723</v>
      </c>
      <c r="L309" s="249"/>
    </row>
    <row r="310" spans="2:12" ht="7.5" customHeight="1">
      <c r="G310" s="254"/>
      <c r="K310"/>
    </row>
    <row r="311" spans="2:12" ht="15">
      <c r="B311" s="277" t="str" cm="1">
        <f t="array" ref="B311">INDEX(LEN_REPORT[],78,MATCH(CONDITIONS!$E$3,Len_DB!$C$8:$H$8,0)+1)</f>
        <v>CLT shear verification</v>
      </c>
      <c r="C311" s="277"/>
      <c r="D311" s="277"/>
      <c r="G311" s="254"/>
      <c r="H311" s="277" t="str" cm="1">
        <f t="array" ref="H311">INDEX(LEN_REPORT[],83,MATCH(CONDITIONS!$E$3,Len_DB!$C$8:$H$8,0)+1)</f>
        <v>GL shear verification</v>
      </c>
      <c r="I311" s="277"/>
      <c r="J311" s="277"/>
      <c r="K311"/>
    </row>
    <row r="312" spans="2:12" ht="30" customHeight="1">
      <c r="E312" s="164">
        <f>C80/K198*IF(E43=3,EJeff!C14*(K194*K196+EJeff!D14)+EJeff!C16*(K194*K196+EJeff!D16),IF(E43=5,EJeff!C13*(K194*K196+EJeff!D13)+EJeff!C15*K194*K196+EJeff!C17*(K194*K196+EJeff!D17),IF(E43=7,EJeff!C12*(K194*K196+EJeff!D12)+EJeff!C14*(K194*K196+EJeff!D14)+EJeff!C16*(K194*K196+EJeff!D16)+EJeff!C18*(K194*K196+EJeff!D18),IF(E43=9,EJeff!C11*(K194*K196+EJeff!D11)+EJeff!C13*(K194*K196+EJeff!D13)+EJeff!C15*(K194*K196+EJeff!D15)+EJeff!C17*(K194*K196+EJeff!D17)+EJeff!C19*(K194*K196+EJeff!D19),IF(E43=11,EJeff!C10*(K194*K196+EJeff!D10)+EJeff!C12*(K194*K196+EJeff!D12)+EJeff!C14*(K194*K196+EJeff!D14)+EJeff!C16*(K194*K196+EJeff!D16)+EJeff!C18*(K194*K196+EJeff!D18)+EJeff!C20*(K194*K196+EJeff!D20),"too many layers")))))*K168*1000</f>
        <v>0.12791660083605369</v>
      </c>
      <c r="F312" s="249" t="s">
        <v>608</v>
      </c>
      <c r="G312" s="254"/>
      <c r="K312" s="164">
        <f>IF(K195&gt;=K116/2,K195*K116*C102*K168*1000/K198,0.5*C102*(K116/2+K195)^2*K168*1000/K198)</f>
        <v>0.31025909205361718</v>
      </c>
      <c r="L312" s="249" t="s">
        <v>608</v>
      </c>
    </row>
    <row r="313" spans="2:12" ht="7.5" customHeight="1">
      <c r="E313"/>
      <c r="F313" s="249"/>
      <c r="G313" s="254"/>
      <c r="K313"/>
      <c r="L313" s="249"/>
    </row>
    <row r="314" spans="2:12" customFormat="1" ht="15" customHeight="1">
      <c r="B314" s="277" t="str" cm="1">
        <f t="array" ref="B314">INDEX(LEN_REPORT[],79,MATCH(CONDITIONS!$E$3,Len_DB!$C$8:$H$8,0)+1)</f>
        <v>CLT rolling shear verification</v>
      </c>
      <c r="C314" s="277"/>
      <c r="D314" s="277"/>
      <c r="F314" s="142"/>
      <c r="K314" s="165"/>
      <c r="L314" s="165"/>
    </row>
    <row r="315" spans="2:12" ht="30" customHeight="1">
      <c r="E315" s="164">
        <f>C80/K198*IF(E43=3,EJeff!C14*(K194*K196+EJeff!D14),IF(E43=5,EJeff!C13*(K194*K196+EJeff!D13)+EJeff!C15*(K194*K196+EJeff!D15),IF(E43=7,EJeff!C12*(K194*K196+EJeff!D12)+EJeff!C14*(K194*K196+EJeff!D14)+EJeff!C16*(K194*K196+EJeff!D16),IF(E43=9,EJeff!C11*(K194*K196+EJeff!D11)+EJeff!C13*(K194*K196+EJeff!D13)+EJeff!C15*(K194*K196+EJeff!D15)+EJeff!C17*(K194*K196+EJeff!D17),IF(E43=11,EJeff!C10*(K194*K196+EJeff!D10)+EJeff!C12*(K194*K196+EJeff!D12)+EJeff!C14*(K194*K196+EJeff!D14)+EJeff!C16*(K194*K196+EJeff!D16)+EJeff!C18*(K194*K196+EJeff!D18),"technical.consulting@rothoblaas.com")))))*K168*1000</f>
        <v>7.5910134617708042E-2</v>
      </c>
      <c r="F315" s="249" t="s">
        <v>608</v>
      </c>
      <c r="G315" s="254"/>
    </row>
    <row r="316" spans="2:12" ht="3.75" customHeight="1">
      <c r="E316"/>
      <c r="F316" s="249"/>
      <c r="G316" s="254"/>
    </row>
    <row r="317" spans="2:12" ht="150" customHeight="1">
      <c r="B317" s="216"/>
      <c r="C317" s="216"/>
      <c r="D317" s="216"/>
      <c r="E317" s="216"/>
      <c r="F317" s="216"/>
      <c r="G317" s="216"/>
      <c r="H317" s="216"/>
      <c r="I317" s="216"/>
      <c r="J317" s="216"/>
      <c r="K317" s="216"/>
      <c r="L317" s="216"/>
    </row>
    <row r="318" spans="2:12" ht="7.5" customHeight="1">
      <c r="E318"/>
      <c r="G318" s="254"/>
    </row>
    <row r="319" spans="2:12" ht="15">
      <c r="B319" s="177" t="str" cm="1">
        <f t="array" ref="B319">INDEX(LEN_REPORT[],84,MATCH(CONDITIONS!$E$3,Len_DB!$C$8:$H$8,0)+1)</f>
        <v>Connection verification at support</v>
      </c>
      <c r="C319" s="177"/>
      <c r="D319" s="177"/>
      <c r="E319" s="177"/>
      <c r="F319" s="177"/>
      <c r="G319" s="177"/>
      <c r="H319" s="177"/>
      <c r="I319" s="177"/>
      <c r="J319" s="177"/>
      <c r="K319" s="177"/>
      <c r="L319" s="177"/>
    </row>
    <row r="320" spans="2:12" ht="7.5" customHeight="1">
      <c r="G320" s="254"/>
    </row>
    <row r="321" spans="2:12">
      <c r="B321" s="277" t="str" cm="1">
        <f t="array" ref="B321">INDEX(LEN_REPORT[],85,MATCH(CONDITIONS!$E$3,Len_DB!$C$8:$H$8,0)+1)</f>
        <v>Design force in the connection</v>
      </c>
      <c r="C321" s="277"/>
      <c r="D321" s="277"/>
      <c r="G321" s="254"/>
      <c r="H321" s="277" t="str" cm="1">
        <f t="array" ref="H321">INDEX(LEN_REPORT[],86,MATCH(CONDITIONS!$E$3,Len_DB!$C$8:$H$8,0)+1)</f>
        <v>Design resistance of the connection</v>
      </c>
      <c r="I321" s="277"/>
      <c r="J321" s="277"/>
    </row>
    <row r="322" spans="2:12" ht="30" customHeight="1">
      <c r="E322" s="164">
        <f>E194*E175*E196*K143/E198*K168</f>
        <v>35.500303864429043</v>
      </c>
      <c r="F322" s="249" t="s">
        <v>653</v>
      </c>
      <c r="G322" s="254"/>
      <c r="K322" s="275">
        <f>$K$146/1000</f>
        <v>90.82831311705705</v>
      </c>
      <c r="L322" s="249" t="s">
        <v>653</v>
      </c>
    </row>
    <row r="323" spans="2:12" ht="7.5" customHeight="1">
      <c r="E323"/>
      <c r="G323" s="254"/>
    </row>
    <row r="324" spans="2:12" ht="15">
      <c r="B324" s="177" t="str" cm="1">
        <f t="array" ref="B324">INDEX(LEN_REPORT[],87,MATCH(CONDITIONS!$E$3,Len_DB!$C$8:$H$8,0)+1)</f>
        <v>Connection verification at mid span</v>
      </c>
      <c r="C324" s="177"/>
      <c r="D324" s="177"/>
      <c r="E324" s="177"/>
      <c r="F324" s="177"/>
      <c r="G324" s="177"/>
      <c r="H324" s="177"/>
      <c r="I324" s="177"/>
      <c r="J324" s="177"/>
      <c r="K324" s="177"/>
      <c r="L324" s="177"/>
    </row>
    <row r="325" spans="2:12" ht="7.5" customHeight="1">
      <c r="G325" s="254"/>
    </row>
    <row r="326" spans="2:12">
      <c r="B326" s="277" t="str" cm="1">
        <f t="array" ref="B326">INDEX(LEN_REPORT[],85,MATCH(CONDITIONS!$E$3,Len_DB!$C$8:$H$8,0)+1)</f>
        <v>Design force in the connection</v>
      </c>
      <c r="C326" s="277"/>
      <c r="D326" s="277"/>
      <c r="G326" s="254"/>
      <c r="H326" s="277" t="str" cm="1">
        <f t="array" ref="H326">INDEX(LEN_REPORT[],86,MATCH(CONDITIONS!$E$3,Len_DB!$C$8:$H$8,0)+1)</f>
        <v>Design resistance of the connection</v>
      </c>
      <c r="I326" s="277"/>
      <c r="J326" s="277"/>
    </row>
    <row r="327" spans="2:12" ht="30" customHeight="1">
      <c r="E327" s="164">
        <f>E322/2</f>
        <v>17.750151932214521</v>
      </c>
      <c r="F327" s="249" t="s">
        <v>653</v>
      </c>
      <c r="G327" s="254"/>
      <c r="K327" s="275">
        <f>$E$146/1000</f>
        <v>45.414156558528525</v>
      </c>
      <c r="L327" s="249" t="s">
        <v>653</v>
      </c>
    </row>
    <row r="328" spans="2:12"/>
    <row r="329" spans="2:12" ht="140.25" customHeight="1">
      <c r="G329" s="254"/>
    </row>
    <row r="330" spans="2:12" ht="45" customHeight="1">
      <c r="G330" s="254"/>
    </row>
    <row r="331" spans="2:12" ht="30" customHeight="1">
      <c r="B331" s="215" t="str" cm="1">
        <f t="array" ref="B331">INDEX(LEN_REPORT[],88,MATCH(CONDITIONS!$E$3,Len_DB!$C$8:$H$8,0)+1)</f>
        <v>Elements verification at ULS
[g] (t = ∞)</v>
      </c>
      <c r="C331" s="215"/>
      <c r="D331" s="215"/>
      <c r="E331" s="215"/>
      <c r="F331" s="215"/>
      <c r="G331" s="215"/>
      <c r="H331" s="215"/>
      <c r="I331" s="215"/>
      <c r="J331" s="215"/>
      <c r="K331" s="215"/>
      <c r="L331" s="215"/>
    </row>
    <row r="332" spans="2:12" ht="3.75" customHeight="1"/>
    <row r="333" spans="2:12">
      <c r="B333" s="178" t="str" cm="1">
        <f t="array" ref="B333">INDEX(LEN_REPORT[],27,MATCH(CONDITIONS!$E$3,Len_DB!$C$8:$H$8,0)+1)</f>
        <v>(1) Slab</v>
      </c>
      <c r="C333" s="178"/>
      <c r="D333" s="178"/>
      <c r="E333" s="178"/>
      <c r="F333" s="178"/>
      <c r="G333" s="117"/>
      <c r="H333" s="178" t="str" cm="1">
        <f t="array" ref="H333">INDEX(LEN_REPORT[],30,MATCH(CONDITIONS!$E$3,Len_DB!$C$8:$H$8,0)+1)</f>
        <v>(2) Rib beam</v>
      </c>
      <c r="I333" s="178"/>
      <c r="J333" s="178"/>
      <c r="K333" s="178"/>
      <c r="L333" s="178"/>
    </row>
    <row r="334" spans="2:12" ht="7.5" customHeight="1">
      <c r="B334" s="117"/>
      <c r="C334" s="117"/>
      <c r="D334" s="117"/>
      <c r="E334" s="117"/>
      <c r="F334" s="117"/>
      <c r="G334" s="117"/>
      <c r="H334" s="117"/>
      <c r="I334" s="117"/>
      <c r="J334" s="117"/>
      <c r="K334" s="117"/>
      <c r="L334" s="117"/>
    </row>
    <row r="335" spans="2:12" ht="14.25" customHeight="1">
      <c r="B335" s="271" t="str" cm="1">
        <f t="array" ref="B335">INDEX(LEN_REPORT[],69,MATCH(CONDITIONS!$E$3,Len_DB!$C$8:$H$8,0)+1)</f>
        <v>Axial load on element (1)</v>
      </c>
      <c r="C335" s="271"/>
      <c r="D335" s="271"/>
      <c r="E335" s="254"/>
      <c r="H335" s="271" t="str" cm="1">
        <f t="array" ref="H335">INDEX(LEN_REPORT[],80,MATCH(CONDITIONS!$E$3,Len_DB!$C$8:$H$8,0)+1)</f>
        <v>Axial load on element (2)</v>
      </c>
      <c r="I335" s="271"/>
      <c r="J335" s="271"/>
      <c r="K335" s="254"/>
    </row>
    <row r="336" spans="2:12" ht="30" customHeight="1">
      <c r="E336" s="275">
        <f>$E$231*$E$213*$E$235/$E$237*$E$167*10^3</f>
        <v>31.223379975901658</v>
      </c>
      <c r="F336" s="249" t="s">
        <v>653</v>
      </c>
      <c r="G336" s="254"/>
      <c r="K336" s="275">
        <f>1*$E$220*$E$233/$E$237*$E$167*10^3</f>
        <v>31.223379975901658</v>
      </c>
      <c r="L336" s="249" t="s">
        <v>653</v>
      </c>
    </row>
    <row r="337" spans="2:12" ht="7.5" customHeight="1">
      <c r="E337"/>
      <c r="G337" s="254"/>
      <c r="K337"/>
    </row>
    <row r="338" spans="2:12" ht="14.25" customHeight="1">
      <c r="B338" s="271" t="str" cm="1">
        <f t="array" ref="B338">INDEX(LEN_REPORT[],70,MATCH(CONDITIONS!$E$3,Len_DB!$C$8:$H$8,0)+1)</f>
        <v>Bending moment on element (1)</v>
      </c>
      <c r="C338" s="271"/>
      <c r="D338" s="271"/>
      <c r="E338"/>
      <c r="H338" s="271" t="str" cm="1">
        <f t="array" ref="H338">INDEX(LEN_REPORT[],81,MATCH(CONDITIONS!$E$3,Len_DB!$C$8:$H$8,0)+1)</f>
        <v>Bending moment on element (2)</v>
      </c>
      <c r="I338" s="271"/>
      <c r="J338" s="271"/>
      <c r="K338"/>
    </row>
    <row r="339" spans="2:12" ht="30" customHeight="1">
      <c r="E339" s="275">
        <f>$E$212/$E$237*$E$167*10^3</f>
        <v>234.77248576417776</v>
      </c>
      <c r="F339" s="249" t="s">
        <v>652</v>
      </c>
      <c r="G339" s="254"/>
      <c r="K339" s="275">
        <f>$E$219/$E$237*$E$167</f>
        <v>5.002301519055492</v>
      </c>
      <c r="L339" s="249" t="s">
        <v>652</v>
      </c>
    </row>
    <row r="340" spans="2:12" ht="7.5" customHeight="1">
      <c r="E340"/>
      <c r="F340" s="249"/>
      <c r="G340" s="254"/>
      <c r="K340"/>
    </row>
    <row r="341" spans="2:12" ht="30" customHeight="1">
      <c r="B341" s="249" t="str" cm="1">
        <f t="array" ref="B341">INDEX(LEN_REPORT[],71,MATCH(CONDITIONS!$E$3,Len_DB!$C$8:$H$8,0)+1)</f>
        <v>Axial load stress</v>
      </c>
      <c r="E341" s="275">
        <f>E336*10^3/E46</f>
        <v>1.0195459293055376</v>
      </c>
      <c r="F341" s="249" t="s">
        <v>608</v>
      </c>
      <c r="H341" s="249" t="str" cm="1">
        <f t="array" ref="H341">INDEX(LEN_REPORT[],71,MATCH(CONDITIONS!$E$3,Len_DB!$C$8:$H$8,0)+1)</f>
        <v>Axial load stress</v>
      </c>
      <c r="K341" s="275">
        <f>K336*1000/($K$116*$K$117)</f>
        <v>0.60983164015432922</v>
      </c>
      <c r="L341" s="249" t="s">
        <v>608</v>
      </c>
    </row>
    <row r="342" spans="2:12" ht="30" customHeight="1">
      <c r="B342" s="267" t="str" cm="1">
        <f t="array" ref="B342">INDEX(LEN_REPORT[],72,MATCH(CONDITIONS!$E$3,Len_DB!$C$8:$H$8,0)+1)</f>
        <v>Bending moment stress</v>
      </c>
      <c r="E342" s="275">
        <f>E339*10^3*$E$116/2/E45</f>
        <v>0.43806245257523563</v>
      </c>
      <c r="F342" s="249" t="s">
        <v>608</v>
      </c>
      <c r="G342" s="254"/>
      <c r="H342" s="267" t="str" cm="1">
        <f t="array" ref="H342">INDEX(LEN_REPORT[],72,MATCH(CONDITIONS!$E$3,Len_DB!$C$8:$H$8,0)+1)</f>
        <v>Bending moment stress</v>
      </c>
      <c r="K342" s="275">
        <f>10^6*K339*$K$116/(2*$K$117*$K$116^3/12)</f>
        <v>1.831897528950986</v>
      </c>
      <c r="L342" s="249" t="s">
        <v>608</v>
      </c>
    </row>
    <row r="343" spans="2:12" ht="7.5" customHeight="1">
      <c r="E343"/>
      <c r="G343" s="254"/>
      <c r="K343"/>
    </row>
    <row r="344" spans="2:12" ht="15">
      <c r="B344" s="277" t="str" cm="1">
        <f t="array" ref="B344">INDEX(LEN_REPORT[],73,MATCH(CONDITIONS!$E$3,Len_DB!$C$8:$H$8,0)+1)</f>
        <v>Combined compression and bending</v>
      </c>
      <c r="C344" s="277"/>
      <c r="D344" s="277"/>
      <c r="E344"/>
      <c r="H344" s="277" t="str" cm="1">
        <f t="array" ref="H344">INDEX(LEN_REPORT[],82,MATCH(CONDITIONS!$E$3,Len_DB!$C$8:$H$8,0)+1)</f>
        <v>Combined tension and bending</v>
      </c>
      <c r="I344" s="277"/>
      <c r="J344" s="277"/>
      <c r="K344"/>
    </row>
    <row r="345" spans="2:12" ht="30" customHeight="1">
      <c r="E345" s="164">
        <f>E341/$J$75+E342/$J$72</f>
        <v>0.13917168405841951</v>
      </c>
      <c r="F345" s="249"/>
      <c r="G345" s="254"/>
      <c r="K345" s="164">
        <f>K341/$J$95+K342/$J$94</f>
        <v>0.22518985062013003</v>
      </c>
      <c r="L345" s="249"/>
    </row>
    <row r="346" spans="2:12" ht="7.5" customHeight="1">
      <c r="E346"/>
      <c r="G346" s="254"/>
      <c r="K346" s="275"/>
    </row>
    <row r="347" spans="2:12" ht="15">
      <c r="B347" s="277" t="str" cm="1">
        <f t="array" ref="B347">INDEX(LEN_REPORT[],78,MATCH(CONDITIONS!$E$3,Len_DB!$C$8:$H$8,0)+1)</f>
        <v>CLT shear verification</v>
      </c>
      <c r="C347" s="277"/>
      <c r="D347" s="277"/>
      <c r="E347"/>
      <c r="G347" s="254"/>
      <c r="H347" s="277" t="str" cm="1">
        <f t="array" ref="H347">INDEX(LEN_REPORT[],83,MATCH(CONDITIONS!$E$3,Len_DB!$C$8:$H$8,0)+1)</f>
        <v>GL shear verification</v>
      </c>
      <c r="I347" s="277"/>
      <c r="J347" s="277"/>
      <c r="K347"/>
    </row>
    <row r="348" spans="2:12" ht="30" customHeight="1">
      <c r="E348" s="164">
        <f>K210/K237*IF(E43=3,EJeff!C14*(K231*K235+EJeff!D14)+EJeff!C16*(K231*K235+EJeff!D16),IF(E43=5,EJeff!C13*(K231*K235+EJeff!D13)+EJeff!C15*K231*K235+EJeff!C17*(K231*K235+EJeff!D17),IF(E43=7,EJeff!C12*(K231*K235+EJeff!D12)+EJeff!C14*(K231*K235+EJeff!D14)+EJeff!C16*(K231*K235+EJeff!D16)+EJeff!C18*(K231*K235+EJeff!D18),IF(E43=9,EJeff!C11*(K231*K235+EJeff!D11)+EJeff!C13*(K231*K235+EJeff!D13)+EJeff!C15*(K231*K235+EJeff!D15)+EJeff!C17*(K231*K235+EJeff!D17)+EJeff!C19*(K231*K235+EJeff!D19),IF(E43=11,EJeff!C10*(K231*K235+EJeff!D10)+EJeff!C12*(K231*K235+EJeff!D12)+EJeff!C14*(K231*K235+EJeff!D14)+EJeff!C16*(K231*K235+EJeff!D16)+EJeff!C18*(K231*K235+EJeff!D18)+EJeff!C20*(K231*K235+EJeff!D20),"too many layers")))))*E168*1000</f>
        <v>7.5003839373363398E-2</v>
      </c>
      <c r="F348" s="249" t="s">
        <v>608</v>
      </c>
      <c r="G348" s="254"/>
      <c r="K348" s="164">
        <f>IF(K233&gt;=K116/2,K233*K116*K217*E168*1000/K237,0.5*K217*(K116/2+K233)^2*E168*1000/K237)</f>
        <v>0.18192027424446841</v>
      </c>
      <c r="L348" s="249" t="s">
        <v>608</v>
      </c>
    </row>
    <row r="349" spans="2:12" ht="7.5" customHeight="1">
      <c r="E349"/>
      <c r="F349" s="249"/>
      <c r="G349" s="254"/>
      <c r="K349" s="275"/>
      <c r="L349" s="249"/>
    </row>
    <row r="350" spans="2:12" customFormat="1" ht="15" customHeight="1">
      <c r="B350" s="277" t="str" cm="1">
        <f t="array" ref="B350">INDEX(LEN_REPORT[],79,MATCH(CONDITIONS!$E$3,Len_DB!$C$8:$H$8,0)+1)</f>
        <v>CLT rolling shear verification</v>
      </c>
      <c r="C350" s="277"/>
      <c r="D350" s="277"/>
      <c r="F350" s="142"/>
      <c r="L350" s="142"/>
    </row>
    <row r="351" spans="2:12" ht="30" customHeight="1">
      <c r="E351" s="164">
        <f>K210/K237*IF(E43=3,EJeff!C14*(K231*K235+EJeff!D14),IF(E43=5,EJeff!C13*(K231*K235+EJeff!D13)+EJeff!C15*(K231*K235+EJeff!D15),IF(E43=7,EJeff!C12*(K231*K235+EJeff!D12)+EJeff!C14*(K231*K235+EJeff!D14)+EJeff!C16*(K231*K235+EJeff!D16),IF(E43=9,EJeff!C11*(K231*K235+EJeff!D11)+EJeff!C13*(K231*K235+EJeff!D13)+EJeff!C15*(K231*K235+EJeff!D15)+EJeff!C17*(K231*K235+EJeff!D17),IF(E43=11,EJeff!C10*(K231*K235+EJeff!D10)+EJeff!C12*(K231*K235+EJeff!D12)+EJeff!C14*(K231*K235+EJeff!D14)+EJeff!C16*(K231*K235+EJeff!D16)+EJeff!C18*(K231*K235+EJeff!D18),"technical.consulting@rothoblaas.com")))))*E168*1000</f>
        <v>4.450987210779777E-2</v>
      </c>
      <c r="F351" s="249" t="s">
        <v>608</v>
      </c>
      <c r="G351" s="254"/>
    </row>
    <row r="352" spans="2:12" ht="3.75" customHeight="1">
      <c r="E352"/>
      <c r="F352" s="249"/>
      <c r="G352" s="254"/>
    </row>
    <row r="353" spans="2:12" ht="150" customHeight="1">
      <c r="B353" s="216"/>
      <c r="C353" s="216"/>
      <c r="D353" s="216"/>
      <c r="E353" s="216"/>
      <c r="F353" s="216"/>
      <c r="G353" s="216"/>
      <c r="H353" s="216"/>
      <c r="I353" s="216"/>
      <c r="J353" s="216"/>
      <c r="K353" s="216"/>
      <c r="L353" s="216"/>
    </row>
    <row r="354" spans="2:12" ht="7.5" customHeight="1">
      <c r="E354"/>
      <c r="G354" s="254"/>
    </row>
    <row r="355" spans="2:12" ht="15">
      <c r="B355" s="177" t="str" cm="1">
        <f t="array" ref="B355">INDEX(LEN_REPORT[],84,MATCH(CONDITIONS!$E$3,Len_DB!$C$8:$H$8,0)+1)</f>
        <v>Connection verification at support</v>
      </c>
      <c r="C355" s="177"/>
      <c r="D355" s="177"/>
      <c r="E355" s="177"/>
      <c r="F355" s="177"/>
      <c r="G355" s="177"/>
      <c r="H355" s="177"/>
      <c r="I355" s="177"/>
      <c r="J355" s="177"/>
      <c r="K355" s="177"/>
      <c r="L355" s="177"/>
    </row>
    <row r="356" spans="2:12" ht="7.5" customHeight="1">
      <c r="G356" s="254"/>
    </row>
    <row r="357" spans="2:12">
      <c r="B357" s="277" t="str" cm="1">
        <f t="array" ref="B357">INDEX(LEN_REPORT[],85,MATCH(CONDITIONS!$E$3,Len_DB!$C$8:$H$8,0)+1)</f>
        <v>Design force in the connection</v>
      </c>
      <c r="C357" s="277"/>
      <c r="D357" s="277"/>
      <c r="G357" s="254"/>
      <c r="H357" s="277" t="str" cm="1">
        <f t="array" ref="H357">INDEX(LEN_REPORT[],86,MATCH(CONDITIONS!$E$3,Len_DB!$C$8:$H$8,0)+1)</f>
        <v>Design resistance of the connection</v>
      </c>
      <c r="I357" s="277"/>
      <c r="J357" s="277"/>
    </row>
    <row r="358" spans="2:12" ht="30" customHeight="1">
      <c r="E358" s="164">
        <f>E194*E175*E196*K143/E198*E168</f>
        <v>20.815586650601102</v>
      </c>
      <c r="F358" s="249" t="s">
        <v>653</v>
      </c>
      <c r="G358" s="254"/>
      <c r="K358" s="275">
        <f>$K$145/1000</f>
        <v>68.121234837792784</v>
      </c>
      <c r="L358" s="249" t="s">
        <v>653</v>
      </c>
    </row>
    <row r="359" spans="2:12" ht="7.5" customHeight="1">
      <c r="E359"/>
      <c r="G359" s="254"/>
    </row>
    <row r="360" spans="2:12" ht="15">
      <c r="B360" s="177" t="str" cm="1">
        <f t="array" ref="B360">INDEX(LEN_REPORT[],87,MATCH(CONDITIONS!$E$3,Len_DB!$C$8:$H$8,0)+1)</f>
        <v>Connection verification at mid span</v>
      </c>
      <c r="C360" s="177"/>
      <c r="D360" s="177"/>
      <c r="E360" s="177"/>
      <c r="F360" s="177"/>
      <c r="G360" s="177"/>
      <c r="H360" s="177"/>
      <c r="I360" s="177"/>
      <c r="J360" s="177"/>
      <c r="K360" s="177"/>
      <c r="L360" s="177"/>
    </row>
    <row r="361" spans="2:12" ht="7.5" customHeight="1">
      <c r="G361" s="254"/>
    </row>
    <row r="362" spans="2:12">
      <c r="B362" s="277" t="str" cm="1">
        <f t="array" ref="B362">INDEX(LEN_REPORT[],85,MATCH(CONDITIONS!$E$3,Len_DB!$C$8:$H$8,0)+1)</f>
        <v>Design force in the connection</v>
      </c>
      <c r="C362" s="277"/>
      <c r="D362" s="277"/>
      <c r="G362" s="254"/>
      <c r="H362" s="277" t="str" cm="1">
        <f t="array" ref="H362">INDEX(LEN_REPORT[],86,MATCH(CONDITIONS!$E$3,Len_DB!$C$8:$H$8,0)+1)</f>
        <v>Design resistance of the connection</v>
      </c>
      <c r="I362" s="277"/>
      <c r="J362" s="277"/>
    </row>
    <row r="363" spans="2:12" ht="30" customHeight="1">
      <c r="E363" s="164">
        <f>E358/2</f>
        <v>10.407793325300551</v>
      </c>
      <c r="F363" s="249" t="s">
        <v>653</v>
      </c>
      <c r="G363" s="254"/>
      <c r="K363" s="275">
        <f>$E$145/1000</f>
        <v>34.060617418896392</v>
      </c>
      <c r="L363" s="249" t="s">
        <v>653</v>
      </c>
    </row>
    <row r="364" spans="2:12"/>
    <row r="365" spans="2:12" ht="140.25" customHeight="1">
      <c r="G365" s="254"/>
    </row>
    <row r="366" spans="2:12" ht="45" customHeight="1">
      <c r="G366" s="254"/>
    </row>
    <row r="367" spans="2:12" ht="30" customHeight="1">
      <c r="B367" s="215" t="str" cm="1">
        <f t="array" ref="B367">INDEX(LEN_REPORT[],89,MATCH(CONDITIONS!$E$3,Len_DB!$C$8:$H$8,0)+1)</f>
        <v>Elements verification at ULS
[g+q] (t = ∞)</v>
      </c>
      <c r="C367" s="215"/>
      <c r="D367" s="215"/>
      <c r="E367" s="215"/>
      <c r="F367" s="215"/>
      <c r="G367" s="215"/>
      <c r="H367" s="215"/>
      <c r="I367" s="215"/>
      <c r="J367" s="215"/>
      <c r="K367" s="215"/>
      <c r="L367" s="215"/>
    </row>
    <row r="368" spans="2:12" ht="3.75" customHeight="1"/>
    <row r="369" spans="2:12">
      <c r="B369" s="178" t="str" cm="1">
        <f t="array" ref="B369">INDEX(LEN_REPORT[],27,MATCH(CONDITIONS!$E$3,Len_DB!$C$8:$H$8,0)+1)</f>
        <v>(1) Slab</v>
      </c>
      <c r="C369" s="178"/>
      <c r="D369" s="178"/>
      <c r="E369" s="178"/>
      <c r="F369" s="178"/>
      <c r="G369" s="117"/>
      <c r="H369" s="178" t="str" cm="1">
        <f t="array" ref="H369">INDEX(LEN_REPORT[],30,MATCH(CONDITIONS!$E$3,Len_DB!$C$8:$H$8,0)+1)</f>
        <v>(2) Rib beam</v>
      </c>
      <c r="I369" s="178"/>
      <c r="J369" s="178"/>
      <c r="K369" s="178"/>
      <c r="L369" s="178"/>
    </row>
    <row r="370" spans="2:12" ht="7.5" customHeight="1">
      <c r="B370" s="117"/>
      <c r="C370" s="117"/>
      <c r="D370" s="117"/>
      <c r="E370" s="117"/>
      <c r="F370" s="117"/>
      <c r="G370" s="117"/>
      <c r="H370" s="117"/>
      <c r="I370" s="117"/>
      <c r="J370" s="117"/>
      <c r="K370" s="117"/>
      <c r="L370" s="117"/>
    </row>
    <row r="371" spans="2:12" ht="14.25" customHeight="1">
      <c r="B371" s="271" t="str" cm="1">
        <f t="array" ref="B371">INDEX(LEN_REPORT[],69,MATCH(CONDITIONS!$E$3,Len_DB!$C$8:$H$8,0)+1)</f>
        <v>Axial load on element (1)</v>
      </c>
      <c r="C371" s="271"/>
      <c r="D371" s="271"/>
      <c r="E371" s="254"/>
      <c r="H371" s="271" t="str" cm="1">
        <f t="array" ref="H371">INDEX(LEN_REPORT[],80,MATCH(CONDITIONS!$E$3,Len_DB!$C$8:$H$8,0)+1)</f>
        <v>Axial load on element (2)</v>
      </c>
      <c r="I371" s="271"/>
      <c r="J371" s="271"/>
      <c r="K371" s="254"/>
    </row>
    <row r="372" spans="2:12" ht="30" customHeight="1">
      <c r="E372" s="275">
        <f>$E$276*$E$258*$E$280/$E$282*$K$167*10^3</f>
        <v>53.250455796643585</v>
      </c>
      <c r="F372" s="249" t="s">
        <v>653</v>
      </c>
      <c r="G372" s="254"/>
      <c r="K372" s="275">
        <f>1*$E$265*$E$233/$E$282*$K$167*10^3</f>
        <v>53.250455796643571</v>
      </c>
      <c r="L372" s="249" t="s">
        <v>653</v>
      </c>
    </row>
    <row r="373" spans="2:12" ht="7.5" customHeight="1">
      <c r="G373" s="254"/>
    </row>
    <row r="374" spans="2:12" ht="14.25" customHeight="1">
      <c r="B374" s="271" t="str" cm="1">
        <f t="array" ref="B374">INDEX(LEN_REPORT[],70,MATCH(CONDITIONS!$E$3,Len_DB!$C$8:$H$8,0)+1)</f>
        <v>Bending moment on element (1)</v>
      </c>
      <c r="C374" s="271"/>
      <c r="D374" s="271"/>
      <c r="E374" s="254"/>
      <c r="H374" s="271" t="str" cm="1">
        <f t="array" ref="H374">INDEX(LEN_REPORT[],81,MATCH(CONDITIONS!$E$3,Len_DB!$C$8:$H$8,0)+1)</f>
        <v>Bending moment on element (2)</v>
      </c>
      <c r="I374" s="271"/>
      <c r="J374" s="271"/>
      <c r="K374" s="275"/>
    </row>
    <row r="375" spans="2:12" ht="30" customHeight="1">
      <c r="E375" s="275">
        <f>$E$257/$E$282*$K$167</f>
        <v>0.40039681434560831</v>
      </c>
      <c r="F375" s="249" t="s">
        <v>652</v>
      </c>
      <c r="G375" s="254"/>
      <c r="K375" s="275">
        <f>$E$264/$E$282*$K$167</f>
        <v>8.5312620263256775</v>
      </c>
      <c r="L375" s="249" t="s">
        <v>652</v>
      </c>
    </row>
    <row r="376" spans="2:12" ht="7.5" customHeight="1">
      <c r="F376" s="249"/>
      <c r="G376" s="254"/>
    </row>
    <row r="377" spans="2:12" ht="30" customHeight="1">
      <c r="B377" s="249" t="str" cm="1">
        <f t="array" ref="B377">INDEX(LEN_REPORT[],71,MATCH(CONDITIONS!$E$3,Len_DB!$C$8:$H$8,0)+1)</f>
        <v>Axial load stress</v>
      </c>
      <c r="E377" s="275">
        <f>E372*1000/E46</f>
        <v>1.7388023168226718</v>
      </c>
      <c r="F377" s="249" t="s">
        <v>608</v>
      </c>
      <c r="G377" s="254"/>
      <c r="H377" s="249" t="str" cm="1">
        <f t="array" ref="H377">INDEX(LEN_REPORT[],71,MATCH(CONDITIONS!$E$3,Len_DB!$C$8:$H$8,0)+1)</f>
        <v>Axial load stress</v>
      </c>
      <c r="K377" s="275">
        <f>K372*1000/($K$116*$K$117)</f>
        <v>1.0400479647781946</v>
      </c>
      <c r="L377" s="249" t="s">
        <v>608</v>
      </c>
    </row>
    <row r="378" spans="2:12" ht="30" customHeight="1">
      <c r="B378" s="267" t="str" cm="1">
        <f t="array" ref="B378">INDEX(LEN_REPORT[],72,MATCH(CONDITIONS!$E$3,Len_DB!$C$8:$H$8,0)+1)</f>
        <v>Bending moment stress</v>
      </c>
      <c r="E378" s="275">
        <f>E375*E$116/2/E45*10^6</f>
        <v>0.74710121982407918</v>
      </c>
      <c r="F378" s="249" t="s">
        <v>608</v>
      </c>
      <c r="G378" s="254"/>
      <c r="H378" s="267" t="str" cm="1">
        <f t="array" ref="H378">INDEX(LEN_REPORT[],72,MATCH(CONDITIONS!$E$3,Len_DB!$C$8:$H$8,0)+1)</f>
        <v>Bending moment stress</v>
      </c>
      <c r="K378" s="275">
        <f>10^6*K375*$K$116/(2*$K$117*$K$116^3/12)</f>
        <v>3.1242414647188763</v>
      </c>
      <c r="L378" s="249" t="s">
        <v>608</v>
      </c>
    </row>
    <row r="379" spans="2:12" ht="7.5" customHeight="1">
      <c r="G379" s="254"/>
      <c r="K379" s="254"/>
    </row>
    <row r="380" spans="2:12">
      <c r="B380" s="277" t="str" cm="1">
        <f t="array" ref="B380">INDEX(LEN_REPORT[],73,MATCH(CONDITIONS!$E$3,Len_DB!$C$8:$H$8,0)+1)</f>
        <v>Combined compression and bending</v>
      </c>
      <c r="C380" s="277"/>
      <c r="D380" s="277"/>
      <c r="G380" s="254"/>
      <c r="H380" s="277" t="str" cm="1">
        <f t="array" ref="H380">INDEX(LEN_REPORT[],82,MATCH(CONDITIONS!$E$3,Len_DB!$C$8:$H$8,0)+1)</f>
        <v>Combined tension and bending</v>
      </c>
      <c r="I380" s="277"/>
      <c r="J380" s="277"/>
    </row>
    <row r="381" spans="2:12" ht="30" customHeight="1">
      <c r="E381" s="164">
        <f>E377/$I$75+E378/$I$72</f>
        <v>0.17801457471493609</v>
      </c>
      <c r="F381" s="249"/>
      <c r="G381" s="254"/>
      <c r="K381" s="164">
        <f>K377/$I$95+K378/$I$94</f>
        <v>0.28804045707627723</v>
      </c>
      <c r="L381" s="249"/>
    </row>
    <row r="382" spans="2:12" ht="7.5" customHeight="1">
      <c r="G382" s="254"/>
      <c r="K382"/>
    </row>
    <row r="383" spans="2:12" ht="15">
      <c r="B383" s="277" t="str" cm="1">
        <f t="array" ref="B383">INDEX(LEN_REPORT[],78,MATCH(CONDITIONS!$E$3,Len_DB!$C$8:$H$8,0)+1)</f>
        <v>CLT shear verification</v>
      </c>
      <c r="C383" s="277"/>
      <c r="D383" s="277"/>
      <c r="G383" s="254"/>
      <c r="H383" s="277" t="str" cm="1">
        <f t="array" ref="H383">INDEX(LEN_REPORT[],83,MATCH(CONDITIONS!$E$3,Len_DB!$C$8:$H$8,0)+1)</f>
        <v>GL shear verification</v>
      </c>
      <c r="I383" s="277"/>
      <c r="J383" s="277"/>
      <c r="K383"/>
    </row>
    <row r="384" spans="2:12" ht="30" customHeight="1">
      <c r="E384" s="164">
        <f>K255/K282*IF(E43=3,EJeff!C14*(K276*K280+EJeff!D14)+EJeff!C16*(K276*K280+EJeff!D16),IF(E43=5,EJeff!C13*(K276*K280+EJeff!D13)+EJeff!C15*K276*K280+EJeff!C17*(K276*K280+EJeff!D17),IF(E43=7,EJeff!C12*(K276*K280+EJeff!D12)+EJeff!C14*(K276*K280+EJeff!D14)+EJeff!C16*(K276*K280+EJeff!D16)+EJeff!C18*(K276*K280+EJeff!D18),IF(E43=9,EJeff!C11*(K276*K280+EJeff!D11)+EJeff!C13*(K276*K280+EJeff!D13)+EJeff!C15*(K276*K280+EJeff!D15)+EJeff!C17*(K276*K280+EJeff!D17)+EJeff!C19*(K276*K280+EJeff!D19),IF(E43=11,EJeff!C10*(K276*K280+EJeff!D10)+EJeff!C12*(K276*K280+EJeff!D12)+EJeff!C14*(K276*K280+EJeff!D14)+EJeff!C16*(K276*K280+EJeff!D16)+EJeff!C18*(K276*K280+EJeff!D18)+EJeff!C20*(K276*K280+EJeff!D20),"too many layers")))))*K168*1000</f>
        <v>0.12791660083605369</v>
      </c>
      <c r="F384" s="249" t="s">
        <v>608</v>
      </c>
      <c r="G384" s="254"/>
      <c r="K384" s="164">
        <f>IF(K278&gt;=K116/2,K278*K116*K262*K168*1000/K282,0.5*K262*(K116/2+K278)^2*K168*1000/K282)</f>
        <v>0.31025909205361729</v>
      </c>
      <c r="L384" s="249" t="s">
        <v>608</v>
      </c>
    </row>
    <row r="385" spans="2:12" ht="7.5" customHeight="1">
      <c r="E385"/>
      <c r="F385" s="249"/>
      <c r="G385" s="254"/>
      <c r="K385"/>
      <c r="L385" s="249"/>
    </row>
    <row r="386" spans="2:12" customFormat="1" ht="15" customHeight="1">
      <c r="B386" s="277" t="str" cm="1">
        <f t="array" ref="B386">INDEX(LEN_REPORT[],79,MATCH(CONDITIONS!$E$3,Len_DB!$C$8:$H$8,0)+1)</f>
        <v>CLT rolling shear verification</v>
      </c>
      <c r="C386" s="277"/>
      <c r="D386" s="277"/>
      <c r="F386" s="142"/>
      <c r="K386" s="165"/>
      <c r="L386" s="165"/>
    </row>
    <row r="387" spans="2:12" ht="30" customHeight="1">
      <c r="E387" s="164">
        <f>K255/K282*IF(E43=3,EJeff!C14*(K276*K280+EJeff!D14),IF(E43=5,EJeff!C13*(K276*K280+EJeff!D13)+EJeff!C15*(K276*K280+EJeff!D15),IF(E43=7,EJeff!C12*(K276*K280+EJeff!D12)+EJeff!C14*(K276*K280+EJeff!D14)+EJeff!C16*(K276*K280+EJeff!D16),IF(E43=9,EJeff!C11*(K276*K280+EJeff!D11)+EJeff!C13*(K276*K280+EJeff!D13)+EJeff!C15*(K276*K280+EJeff!D15)+EJeff!C17*(K276*K280+EJeff!D17),IF(E43=11,EJeff!C10*(K276*K280+EJeff!D10)+EJeff!C12*(K276*K280+EJeff!D12)+EJeff!C14*(K276*K280+EJeff!D14)+EJeff!C16*(K276*K280+EJeff!D16)+EJeff!C18*(K276*K280+EJeff!D18),"technical.consulting@rothoblaas.com")))))*K168*1000</f>
        <v>7.5910134617708042E-2</v>
      </c>
      <c r="F387" s="249" t="s">
        <v>608</v>
      </c>
      <c r="G387" s="254"/>
    </row>
    <row r="388" spans="2:12" ht="3.75" customHeight="1">
      <c r="E388"/>
      <c r="F388" s="249"/>
      <c r="G388" s="254"/>
    </row>
    <row r="389" spans="2:12" ht="150" customHeight="1">
      <c r="B389" s="216"/>
      <c r="C389" s="216"/>
      <c r="D389" s="216"/>
      <c r="E389" s="216"/>
      <c r="F389" s="216"/>
      <c r="G389" s="216"/>
      <c r="H389" s="216"/>
      <c r="I389" s="216"/>
      <c r="J389" s="216"/>
      <c r="K389" s="216"/>
      <c r="L389" s="216"/>
    </row>
    <row r="390" spans="2:12" ht="7.5" customHeight="1">
      <c r="E390"/>
      <c r="G390" s="254"/>
    </row>
    <row r="391" spans="2:12" ht="15">
      <c r="B391" s="177" t="str" cm="1">
        <f t="array" ref="B391">INDEX(LEN_REPORT[],84,MATCH(CONDITIONS!$E$3,Len_DB!$C$8:$H$8,0)+1)</f>
        <v>Connection verification at support</v>
      </c>
      <c r="C391" s="177"/>
      <c r="D391" s="177"/>
      <c r="E391" s="177"/>
      <c r="F391" s="177"/>
      <c r="G391" s="177"/>
      <c r="H391" s="177"/>
      <c r="I391" s="177"/>
      <c r="J391" s="177"/>
      <c r="K391" s="177"/>
      <c r="L391" s="177"/>
    </row>
    <row r="392" spans="2:12" ht="7.5" customHeight="1">
      <c r="G392" s="254"/>
    </row>
    <row r="393" spans="2:12">
      <c r="B393" s="277" t="str" cm="1">
        <f t="array" ref="B393">INDEX(LEN_REPORT[],85,MATCH(CONDITIONS!$E$3,Len_DB!$C$8:$H$8,0)+1)</f>
        <v>Design force in the connection</v>
      </c>
      <c r="C393" s="277"/>
      <c r="D393" s="277"/>
      <c r="G393" s="254"/>
      <c r="H393" s="277" t="str" cm="1">
        <f t="array" ref="H393">INDEX(LEN_REPORT[],86,MATCH(CONDITIONS!$E$3,Len_DB!$C$8:$H$8,0)+1)</f>
        <v>Design resistance of the connection</v>
      </c>
      <c r="I393" s="277"/>
      <c r="J393" s="277"/>
    </row>
    <row r="394" spans="2:12" ht="30" customHeight="1">
      <c r="E394" s="164">
        <f>$E$258*$E$276*$E$280*$K$143*$K$168/$E$282</f>
        <v>35.500303864429057</v>
      </c>
      <c r="F394" s="249" t="s">
        <v>653</v>
      </c>
      <c r="G394" s="254"/>
      <c r="K394" s="275">
        <f>K146/1000</f>
        <v>90.82831311705705</v>
      </c>
      <c r="L394" s="249" t="s">
        <v>653</v>
      </c>
    </row>
    <row r="395" spans="2:12" ht="7.5" customHeight="1">
      <c r="E395"/>
      <c r="G395" s="254"/>
    </row>
    <row r="396" spans="2:12" ht="15">
      <c r="B396" s="177" t="str" cm="1">
        <f t="array" ref="B396">INDEX(LEN_REPORT[],87,MATCH(CONDITIONS!$E$3,Len_DB!$C$8:$H$8,0)+1)</f>
        <v>Connection verification at mid span</v>
      </c>
      <c r="C396" s="177"/>
      <c r="D396" s="177"/>
      <c r="E396" s="177"/>
      <c r="F396" s="177"/>
      <c r="G396" s="177"/>
      <c r="H396" s="177"/>
      <c r="I396" s="177"/>
      <c r="J396" s="177"/>
      <c r="K396" s="177"/>
      <c r="L396" s="177"/>
    </row>
    <row r="397" spans="2:12" ht="7.5" customHeight="1">
      <c r="G397" s="254"/>
    </row>
    <row r="398" spans="2:12">
      <c r="B398" s="277" t="str" cm="1">
        <f t="array" ref="B398">INDEX(LEN_REPORT[],85,MATCH(CONDITIONS!$E$3,Len_DB!$C$8:$H$8,0)+1)</f>
        <v>Design force in the connection</v>
      </c>
      <c r="C398" s="277"/>
      <c r="D398" s="277"/>
      <c r="G398" s="254"/>
      <c r="H398" s="277" t="str" cm="1">
        <f t="array" ref="H398">INDEX(LEN_REPORT[],86,MATCH(CONDITIONS!$E$3,Len_DB!$C$8:$H$8,0)+1)</f>
        <v>Design resistance of the connection</v>
      </c>
      <c r="I398" s="277"/>
      <c r="J398" s="277"/>
    </row>
    <row r="399" spans="2:12" ht="30" customHeight="1">
      <c r="E399" s="164">
        <f>E394/2</f>
        <v>17.750151932214528</v>
      </c>
      <c r="F399" s="249" t="s">
        <v>653</v>
      </c>
      <c r="G399" s="254"/>
      <c r="K399" s="275">
        <f>$E$146/1000</f>
        <v>45.414156558528525</v>
      </c>
      <c r="L399" s="249" t="s">
        <v>653</v>
      </c>
    </row>
    <row r="400" spans="2:12"/>
    <row r="401" spans="1:12" ht="140.25" customHeight="1">
      <c r="G401" s="254"/>
    </row>
    <row r="402" spans="1:12" ht="45" customHeight="1">
      <c r="G402" s="254"/>
    </row>
    <row r="403" spans="1:12" ht="30" customHeight="1">
      <c r="B403" s="215" t="str" cm="1">
        <f t="array" ref="B403">INDEX(LEN_REPORT[],90,MATCH(CONDITIONS!$E$3,Len_DB!$C$8:$H$8,0)+1)</f>
        <v>Connector displacement at ULS</v>
      </c>
      <c r="C403" s="215"/>
      <c r="D403" s="215"/>
      <c r="E403" s="215"/>
      <c r="F403" s="215"/>
      <c r="G403" s="215"/>
      <c r="H403" s="215"/>
      <c r="I403" s="215"/>
      <c r="J403" s="215"/>
      <c r="K403" s="215"/>
      <c r="L403" s="215"/>
    </row>
    <row r="404" spans="1:12" ht="3.75" customHeight="1"/>
    <row r="405" spans="1:12" ht="15">
      <c r="B405" s="277" t="str" cm="1">
        <f t="array" ref="B405">INDEX(LEN_REPORT[],91,MATCH(CONDITIONS!$E$3,Len_DB!$C$8:$H$8,0)+1)</f>
        <v>[g+q] (t = 0)</v>
      </c>
      <c r="C405" s="277"/>
      <c r="D405" s="277"/>
      <c r="E405" s="166">
        <f>E322*1000/E142</f>
        <v>0.221703693142414</v>
      </c>
      <c r="F405" t="s">
        <v>559</v>
      </c>
      <c r="G405"/>
      <c r="H405"/>
      <c r="I405"/>
      <c r="J405"/>
      <c r="K405"/>
      <c r="L405"/>
    </row>
    <row r="406" spans="1:12" ht="3.75" customHeight="1">
      <c r="B406" s="278"/>
      <c r="C406" s="278"/>
      <c r="D406" s="278"/>
      <c r="E406" s="166"/>
      <c r="F406"/>
      <c r="G406"/>
      <c r="H406"/>
      <c r="I406"/>
      <c r="J406"/>
      <c r="K406"/>
      <c r="L406"/>
    </row>
    <row r="407" spans="1:12" ht="15">
      <c r="B407" s="277" t="str" cm="1">
        <f t="array" ref="B407">INDEX(LEN_REPORT[],92,MATCH(CONDITIONS!$E$3,Len_DB!$C$8:$H$8,0)+1)</f>
        <v>[g] (t = ∞)</v>
      </c>
      <c r="C407" s="277"/>
      <c r="D407" s="277"/>
      <c r="E407" s="166">
        <f>E358*1000/E245</f>
        <v>0.21969299884162907</v>
      </c>
      <c r="F407" t="s">
        <v>559</v>
      </c>
      <c r="G407"/>
      <c r="H407"/>
      <c r="I407"/>
      <c r="J407"/>
      <c r="K407"/>
      <c r="L407"/>
    </row>
    <row r="408" spans="1:12" ht="3.75" customHeight="1">
      <c r="B408" s="278"/>
      <c r="C408" s="278"/>
      <c r="D408" s="278"/>
      <c r="E408" s="166"/>
      <c r="F408"/>
      <c r="G408"/>
      <c r="H408"/>
      <c r="I408"/>
      <c r="J408"/>
      <c r="K408"/>
      <c r="L408"/>
    </row>
    <row r="409" spans="1:12" ht="15">
      <c r="B409" s="277" t="str" cm="1">
        <f t="array" ref="B409">INDEX(LEN_REPORT[],93,MATCH(CONDITIONS!$E$3,Len_DB!$C$8:$H$8,0)+1)</f>
        <v>[g+q] (t = ∞)</v>
      </c>
      <c r="C409" s="277"/>
      <c r="D409" s="277"/>
      <c r="E409" s="166">
        <f>E394*1000/E290</f>
        <v>0.2675963576228938</v>
      </c>
      <c r="F409" t="s">
        <v>559</v>
      </c>
      <c r="G409"/>
      <c r="H409"/>
      <c r="I409"/>
      <c r="J409"/>
      <c r="K409"/>
      <c r="L409"/>
    </row>
    <row r="410" spans="1:12" ht="7.5" customHeight="1">
      <c r="E410"/>
      <c r="G410" s="254"/>
    </row>
    <row r="411" spans="1:12" ht="30" customHeight="1">
      <c r="B411" s="177" t="str" cm="1">
        <f t="array" ref="B411">INDEX(LEN_REPORT[],94,MATCH(CONDITIONS!$E$3,Len_DB!$C$8:$H$8,0)+1)</f>
        <v>Deflection verification - ELS</v>
      </c>
      <c r="C411" s="177"/>
      <c r="D411" s="177"/>
      <c r="E411" s="177"/>
      <c r="F411" s="177"/>
      <c r="G411" s="177"/>
      <c r="H411" s="177"/>
      <c r="I411" s="177"/>
      <c r="J411" s="177"/>
      <c r="K411" s="177"/>
      <c r="L411" s="177"/>
    </row>
    <row r="412" spans="1:12" customFormat="1" ht="3.75" customHeight="1">
      <c r="A412" s="142"/>
    </row>
    <row r="413" spans="1:12" ht="18" customHeight="1">
      <c r="B413" s="177" t="str" cm="1">
        <f t="array" ref="B413">INDEX(LEN_REPORT[],95,MATCH(CONDITIONS!$E$3,Len_DB!$C$8:$H$8,0)+1)</f>
        <v>Stiffness at midspan (t = 0)</v>
      </c>
      <c r="C413" s="177"/>
      <c r="D413" s="177"/>
      <c r="E413" s="177"/>
      <c r="F413" s="177"/>
      <c r="G413" s="177"/>
      <c r="H413" s="177"/>
      <c r="I413" s="177"/>
      <c r="J413" s="177"/>
      <c r="K413" s="177"/>
      <c r="L413" s="177"/>
    </row>
    <row r="414" spans="1:12" ht="3.75" customHeight="1"/>
    <row r="415" spans="1:12">
      <c r="B415" s="178" t="str" cm="1">
        <f t="array" ref="B415">INDEX(LEN_REPORT[],27,MATCH(CONDITIONS!$E$3,Len_DB!$C$8:$H$8,0)+1)</f>
        <v>(1) Slab</v>
      </c>
      <c r="C415" s="178"/>
      <c r="D415" s="178"/>
      <c r="E415" s="178"/>
      <c r="F415" s="178"/>
      <c r="G415" s="117"/>
      <c r="H415" s="178" t="str" cm="1">
        <f t="array" ref="H415">INDEX(LEN_REPORT[],30,MATCH(CONDITIONS!$E$3,Len_DB!$C$8:$H$8,0)+1)</f>
        <v>(2) Rib beam</v>
      </c>
      <c r="I415" s="178"/>
      <c r="J415" s="178"/>
      <c r="K415" s="178"/>
      <c r="L415" s="178"/>
    </row>
    <row r="416" spans="1:12" ht="3.75" customHeight="1">
      <c r="B416"/>
      <c r="C416"/>
      <c r="D416"/>
      <c r="F416"/>
      <c r="G416"/>
      <c r="H416"/>
      <c r="I416"/>
      <c r="J416"/>
      <c r="K416"/>
      <c r="L416"/>
    </row>
    <row r="417" spans="2:12" ht="15">
      <c r="B417" t="str" cm="1">
        <f t="array" ref="B417">INDEX(LEN_REPORT[],96,MATCH(CONDITIONS!$E$3,Len_DB!$C$8:$H$8,0)+1)</f>
        <v>Bending stiffness</v>
      </c>
      <c r="C417" s="179" t="s">
        <v>654</v>
      </c>
      <c r="D417" s="179"/>
      <c r="E417" s="273">
        <f>E174</f>
        <v>235810882966.50311</v>
      </c>
      <c r="F417" s="249" t="s">
        <v>655</v>
      </c>
      <c r="G417"/>
      <c r="H417" t="str" cm="1">
        <f t="array" ref="H417">INDEX(LEN_REPORT[],96,MATCH(CONDITIONS!$E$3,Len_DB!$C$8:$H$8,0)+1)</f>
        <v>Bending stiffness</v>
      </c>
      <c r="I417" s="179" t="s">
        <v>657</v>
      </c>
      <c r="J417" s="179"/>
      <c r="K417" s="273">
        <f>E179</f>
        <v>5024426666666.667</v>
      </c>
      <c r="L417" s="249" t="s">
        <v>655</v>
      </c>
    </row>
    <row r="418" spans="2:12" ht="3.75" customHeight="1">
      <c r="B418"/>
      <c r="E418" s="254"/>
      <c r="F418"/>
      <c r="G418"/>
      <c r="H418"/>
      <c r="K418" s="273"/>
      <c r="L418"/>
    </row>
    <row r="419" spans="2:12" ht="15">
      <c r="B419" t="str" cm="1">
        <f t="array" ref="B419">INDEX(LEN_REPORT[],97,MATCH(CONDITIONS!$E$3,Len_DB!$C$8:$H$8,0)+1)</f>
        <v>Axial stiffness</v>
      </c>
      <c r="C419" s="179" t="s">
        <v>656</v>
      </c>
      <c r="D419" s="179"/>
      <c r="E419" s="273">
        <f>E175</f>
        <v>336872689.95214731</v>
      </c>
      <c r="F419" s="249" t="s">
        <v>642</v>
      </c>
      <c r="G419"/>
      <c r="H419" t="str" cm="1">
        <f t="array" ref="H419">INDEX(LEN_REPORT[],97,MATCH(CONDITIONS!$E$3,Len_DB!$C$8:$H$8,0)+1)</f>
        <v>Axial stiffness</v>
      </c>
      <c r="I419" s="179" t="s">
        <v>658</v>
      </c>
      <c r="J419" s="179"/>
      <c r="K419" s="273">
        <f>E180</f>
        <v>588800000</v>
      </c>
      <c r="L419" t="s">
        <v>642</v>
      </c>
    </row>
    <row r="420" spans="2:12" ht="7.5" customHeight="1">
      <c r="B420"/>
      <c r="C420"/>
      <c r="D420"/>
      <c r="E420"/>
      <c r="F420"/>
      <c r="G420"/>
      <c r="H420"/>
      <c r="I420"/>
      <c r="J420"/>
      <c r="K420"/>
      <c r="L420"/>
    </row>
    <row r="421" spans="2:12" ht="26.25" customHeight="1">
      <c r="B421" s="168" t="str" cm="1">
        <f t="array" ref="B421">INDEX(LEN_REPORT[],98,MATCH(CONDITIONS!$E$3,Len_DB!$C$8:$H$8,0)+1)</f>
        <v>System stiffnesses</v>
      </c>
      <c r="E421" s="273">
        <f>K417+E417</f>
        <v>5260237549633.1699</v>
      </c>
      <c r="F421" s="249" t="s">
        <v>655</v>
      </c>
      <c r="G421"/>
      <c r="H421" s="279" t="str" cm="1">
        <f t="array" ref="H421">INDEX(LEN_REPORT[],63,MATCH(CONDITIONS!$E$3,Len_DB!$C$8:$H$8,0)+1)</f>
        <v>Distance between centres of mass of (1) and (2)</v>
      </c>
      <c r="K421" s="266">
        <f>E187</f>
        <v>200</v>
      </c>
      <c r="L421" s="277" t="s">
        <v>559</v>
      </c>
    </row>
    <row r="422" spans="2:12" ht="26.25" customHeight="1">
      <c r="B422" s="168"/>
      <c r="E422" s="273">
        <f>(K419*E419)/(K419+E419)</f>
        <v>214277294.76828152</v>
      </c>
      <c r="F422" s="249" t="s">
        <v>642</v>
      </c>
      <c r="G422"/>
      <c r="H422" s="279"/>
      <c r="I422"/>
      <c r="J422"/>
      <c r="K422" s="266"/>
      <c r="L422" s="277"/>
    </row>
    <row r="423" spans="2:12" ht="7.5" customHeight="1">
      <c r="B423"/>
      <c r="C423"/>
      <c r="D423"/>
      <c r="E423" s="254"/>
      <c r="G423"/>
      <c r="H423"/>
      <c r="I423"/>
      <c r="J423"/>
      <c r="L423"/>
    </row>
    <row r="424" spans="2:12" ht="15">
      <c r="B424" s="249" t="str" cm="1">
        <f t="array" ref="B424">INDEX(LEN_REPORT[],57,MATCH(CONDITIONS!$E$3,Len_DB!$C$8:$H$8,0)+1)</f>
        <v>Bending stiffness</v>
      </c>
      <c r="G424"/>
      <c r="H424"/>
      <c r="I424"/>
      <c r="J424"/>
      <c r="K424"/>
      <c r="L424"/>
    </row>
    <row r="425" spans="2:12" ht="30" customHeight="1">
      <c r="C425" s="179"/>
      <c r="D425" s="179"/>
      <c r="E425" s="273">
        <f>E421+E422*K421^2</f>
        <v>13831329340364.43</v>
      </c>
      <c r="F425" s="249" t="s">
        <v>655</v>
      </c>
      <c r="G425"/>
      <c r="H425"/>
      <c r="I425"/>
      <c r="J425"/>
      <c r="K425"/>
      <c r="L425"/>
    </row>
    <row r="426" spans="2:12" ht="7.5" customHeight="1">
      <c r="B426"/>
      <c r="C426"/>
      <c r="D426"/>
      <c r="E426"/>
      <c r="F426"/>
      <c r="G426"/>
      <c r="H426"/>
      <c r="I426"/>
      <c r="J426"/>
      <c r="K426"/>
      <c r="L426"/>
    </row>
    <row r="427" spans="2:12" customFormat="1" ht="15" customHeight="1">
      <c r="B427" s="178" t="str" cm="1">
        <f t="array" ref="B427">INDEX(LEN_REPORT[],64,MATCH(CONDITIONS!$E$3,Len_DB!$C$8:$H$8,0)+1)</f>
        <v>Composite system effective stiffness</v>
      </c>
      <c r="C427" s="178"/>
      <c r="D427" s="178"/>
      <c r="E427" s="178"/>
      <c r="F427" s="178"/>
    </row>
    <row r="428" spans="2:12" ht="3.75" customHeight="1">
      <c r="B428" s="117"/>
      <c r="C428" s="117"/>
      <c r="D428" s="117"/>
      <c r="E428" s="117"/>
      <c r="F428" s="117"/>
      <c r="G428"/>
      <c r="H428"/>
      <c r="I428"/>
      <c r="J428"/>
      <c r="K428"/>
      <c r="L428"/>
    </row>
    <row r="429" spans="2:12" ht="37.5" customHeight="1">
      <c r="E429" s="275">
        <f>1/(1+((3.14^2)*E419*E143)/(E141*E119^2))</f>
        <v>0.72247827312851443</v>
      </c>
      <c r="G429"/>
      <c r="H429"/>
      <c r="I429"/>
      <c r="J429"/>
      <c r="K429"/>
      <c r="L429"/>
    </row>
    <row r="430" spans="2:12" ht="37.5" customHeight="1">
      <c r="E430" s="254">
        <f>(E429*E419*K421)/(E429*E419+K419)</f>
        <v>58.492697162182495</v>
      </c>
      <c r="F430" s="249" t="s">
        <v>559</v>
      </c>
      <c r="G430"/>
      <c r="H430"/>
      <c r="I430"/>
      <c r="J430"/>
      <c r="K430"/>
      <c r="L430"/>
    </row>
    <row r="431" spans="2:12" ht="15">
      <c r="C431" s="179" t="s">
        <v>659</v>
      </c>
      <c r="D431" s="179"/>
      <c r="E431" s="254">
        <f>K421-E430</f>
        <v>141.50730283781752</v>
      </c>
      <c r="F431" s="249" t="s">
        <v>559</v>
      </c>
      <c r="G431"/>
      <c r="H431"/>
      <c r="I431"/>
      <c r="J431"/>
      <c r="K431"/>
      <c r="L431"/>
    </row>
    <row r="432" spans="2:12" ht="15">
      <c r="G432"/>
      <c r="H432"/>
      <c r="I432"/>
      <c r="J432"/>
      <c r="K432"/>
      <c r="L432"/>
    </row>
    <row r="433" spans="2:12" ht="28.5" customHeight="1">
      <c r="B433"/>
      <c r="C433"/>
      <c r="D433"/>
      <c r="E433" s="254">
        <f>E417+K417+K419*E430^2+E419*E431^2*E429</f>
        <v>12148337567451.781</v>
      </c>
      <c r="F433" s="249" t="s">
        <v>655</v>
      </c>
      <c r="G433"/>
      <c r="H433"/>
      <c r="I433"/>
      <c r="J433"/>
      <c r="K433"/>
      <c r="L433"/>
    </row>
    <row r="434" spans="2:12" ht="15">
      <c r="B434"/>
      <c r="C434"/>
      <c r="D434"/>
      <c r="E434"/>
      <c r="F434"/>
      <c r="G434"/>
      <c r="H434"/>
      <c r="I434"/>
      <c r="J434"/>
      <c r="K434"/>
      <c r="L434"/>
    </row>
    <row r="435" spans="2:12" ht="15">
      <c r="B435" t="str" cm="1">
        <f t="array" ref="B435">INDEX(LEN_REPORT[],65,MATCH(CONDITIONS!$E$3,Len_DB!$C$8:$H$8,0)+1)</f>
        <v>Composite system efficency</v>
      </c>
      <c r="C435"/>
      <c r="D435"/>
      <c r="E435"/>
      <c r="F435"/>
      <c r="G435"/>
      <c r="H435"/>
      <c r="I435"/>
      <c r="J435"/>
      <c r="K435"/>
      <c r="L435"/>
    </row>
    <row r="436" spans="2:12" ht="7.5" customHeight="1">
      <c r="B436"/>
      <c r="C436"/>
      <c r="D436"/>
      <c r="E436"/>
      <c r="F436"/>
      <c r="G436"/>
      <c r="H436"/>
      <c r="I436"/>
      <c r="J436"/>
      <c r="K436"/>
      <c r="L436"/>
    </row>
    <row r="437" spans="2:12" ht="30" customHeight="1">
      <c r="B437"/>
      <c r="C437"/>
      <c r="D437"/>
      <c r="E437" s="254">
        <f>(E433-E421)/(E425-E421)</f>
        <v>0.80364324475761328</v>
      </c>
      <c r="F437"/>
      <c r="G437"/>
      <c r="H437"/>
      <c r="I437"/>
      <c r="J437"/>
      <c r="K437"/>
      <c r="L437"/>
    </row>
    <row r="438" spans="2:12" ht="306" customHeight="1">
      <c r="B438"/>
      <c r="C438"/>
      <c r="D438"/>
      <c r="E438"/>
      <c r="F438"/>
      <c r="G438"/>
      <c r="H438"/>
      <c r="I438"/>
      <c r="J438"/>
      <c r="K438"/>
      <c r="L438"/>
    </row>
    <row r="439" spans="2:12" ht="45" customHeight="1">
      <c r="G439" s="254"/>
    </row>
    <row r="440" spans="2:12" ht="18" customHeight="1">
      <c r="B440" s="177" t="str" cm="1">
        <f t="array" ref="B440">INDEX(LEN_REPORT[],95,MATCH(CONDITIONS!$E$3,Len_DB!$C$8:$H$8,0)+1)</f>
        <v>Stiffness at midspan (t = 0)</v>
      </c>
      <c r="C440" s="177"/>
      <c r="D440" s="177"/>
      <c r="E440" s="177"/>
      <c r="F440" s="177"/>
      <c r="G440" s="177"/>
      <c r="H440" s="177"/>
      <c r="I440" s="177"/>
      <c r="J440" s="177"/>
      <c r="K440" s="177"/>
      <c r="L440" s="177"/>
    </row>
    <row r="441" spans="2:12" ht="3.75" customHeight="1"/>
    <row r="442" spans="2:12" ht="18" customHeight="1">
      <c r="B442" s="141" t="str" cm="1">
        <f t="array" ref="B442">INDEX(LEN_REPORT[],99,MATCH(CONDITIONS!$E$3,Len_DB!$C$8:$H$8,0)+1)</f>
        <v>Deflection verification</v>
      </c>
      <c r="C442" s="141"/>
      <c r="D442" s="141"/>
      <c r="E442" s="141"/>
      <c r="F442" s="141"/>
      <c r="G442" s="141"/>
      <c r="H442" s="141"/>
      <c r="I442" s="141"/>
      <c r="J442" s="141"/>
      <c r="K442" s="141"/>
      <c r="L442" s="141"/>
    </row>
    <row r="443" spans="2:12" ht="3.75" customHeight="1"/>
    <row r="444" spans="2:12" ht="28.5" customHeight="1">
      <c r="E444" s="273">
        <f>'Calculation Report'!K141/(1+'Calculation Report'!E150)</f>
        <v>142122.78106508875</v>
      </c>
      <c r="F444" s="249" t="s">
        <v>637</v>
      </c>
      <c r="K444" s="274"/>
      <c r="L444" s="249"/>
    </row>
    <row r="445" spans="2:12" ht="3.75" customHeight="1"/>
    <row r="446" spans="2:12">
      <c r="B446" s="178" t="str" cm="1">
        <f t="array" ref="B446">INDEX(LEN_REPORT[],27,MATCH(CONDITIONS!$E$3,Len_DB!$C$8:$H$8,0)+1)</f>
        <v>(1) Slab</v>
      </c>
      <c r="C446" s="178"/>
      <c r="D446" s="178"/>
      <c r="E446" s="178"/>
      <c r="F446" s="178"/>
      <c r="G446" s="117"/>
      <c r="H446" s="178" t="str" cm="1">
        <f t="array" ref="H446">INDEX(LEN_REPORT[],30,MATCH(CONDITIONS!$E$3,Len_DB!$C$8:$H$8,0)+1)</f>
        <v>(2) Rib beam</v>
      </c>
      <c r="I446" s="178"/>
      <c r="J446" s="178"/>
      <c r="K446" s="178"/>
      <c r="L446" s="178"/>
    </row>
    <row r="447" spans="2:12" ht="3.75" customHeight="1"/>
    <row r="448" spans="2:12" ht="28.5" customHeight="1">
      <c r="E448" s="274">
        <f>$C$80/(1+$E$150)</f>
        <v>6508.875739644971</v>
      </c>
      <c r="F448" s="249" t="s">
        <v>608</v>
      </c>
      <c r="K448" s="274">
        <f>$C$102/(1+$E$150)</f>
        <v>6804.7337278106515</v>
      </c>
      <c r="L448" s="249" t="s">
        <v>608</v>
      </c>
    </row>
    <row r="449" spans="2:12"/>
    <row r="450" spans="2:12" ht="7.5" customHeight="1"/>
    <row r="451" spans="2:12"/>
    <row r="452" spans="2:12" ht="3.75" customHeight="1">
      <c r="B452"/>
      <c r="C452"/>
      <c r="D452"/>
      <c r="F452"/>
      <c r="G452"/>
      <c r="H452"/>
      <c r="I452"/>
      <c r="J452"/>
      <c r="K452"/>
      <c r="L452"/>
    </row>
    <row r="453" spans="2:12" ht="15">
      <c r="B453" t="str" cm="1">
        <f t="array" ref="B453">INDEX(LEN_REPORT[],96,MATCH(CONDITIONS!$E$3,Len_DB!$C$8:$H$8,0)+1)</f>
        <v>Bending stiffness</v>
      </c>
      <c r="C453" s="179" t="s">
        <v>654</v>
      </c>
      <c r="D453" s="179"/>
      <c r="E453" s="273">
        <f>E448*E45</f>
        <v>139533066844.08469</v>
      </c>
      <c r="F453" s="249" t="s">
        <v>655</v>
      </c>
      <c r="G453"/>
      <c r="H453" t="str" cm="1">
        <f t="array" ref="H453">INDEX(LEN_REPORT[],96,MATCH(CONDITIONS!$E$3,Len_DB!$C$8:$H$8,0)+1)</f>
        <v>Bending stiffness</v>
      </c>
      <c r="I453" s="179" t="s">
        <v>657</v>
      </c>
      <c r="J453" s="179"/>
      <c r="K453" s="273">
        <f>K448*K117*K116^3/12</f>
        <v>2973033530571.9922</v>
      </c>
      <c r="L453" s="249" t="s">
        <v>655</v>
      </c>
    </row>
    <row r="454" spans="2:12" ht="3.75" customHeight="1">
      <c r="B454"/>
      <c r="E454" s="254"/>
      <c r="F454"/>
      <c r="G454"/>
      <c r="H454"/>
      <c r="K454" s="273"/>
      <c r="L454"/>
    </row>
    <row r="455" spans="2:12" ht="15">
      <c r="B455" t="str" cm="1">
        <f t="array" ref="B455">INDEX(LEN_REPORT[],97,MATCH(CONDITIONS!$E$3,Len_DB!$C$8:$H$8,0)+1)</f>
        <v>Axial stiffness</v>
      </c>
      <c r="C455" s="179" t="s">
        <v>656</v>
      </c>
      <c r="D455" s="179"/>
      <c r="E455" s="273">
        <f>E448*E46</f>
        <v>199332952.63440672</v>
      </c>
      <c r="F455" s="249" t="s">
        <v>642</v>
      </c>
      <c r="G455"/>
      <c r="H455" t="str" cm="1">
        <f t="array" ref="H455">INDEX(LEN_REPORT[],97,MATCH(CONDITIONS!$E$3,Len_DB!$C$8:$H$8,0)+1)</f>
        <v>Axial stiffness</v>
      </c>
      <c r="I455" s="179" t="s">
        <v>658</v>
      </c>
      <c r="J455" s="179"/>
      <c r="K455" s="273">
        <f>K448*K116*K117</f>
        <v>348402366.86390531</v>
      </c>
      <c r="L455" t="s">
        <v>642</v>
      </c>
    </row>
    <row r="456" spans="2:12" ht="7.5" customHeight="1">
      <c r="B456"/>
      <c r="C456"/>
      <c r="D456"/>
      <c r="E456"/>
      <c r="F456"/>
      <c r="G456"/>
      <c r="H456"/>
      <c r="I456"/>
      <c r="J456"/>
      <c r="K456"/>
      <c r="L456"/>
    </row>
    <row r="457" spans="2:12" ht="26.25" customHeight="1">
      <c r="B457" s="168" t="str" cm="1">
        <f t="array" ref="B457">INDEX(LEN_REPORT[],98,MATCH(CONDITIONS!$E$3,Len_DB!$C$8:$H$8,0)+1)</f>
        <v>System stiffnesses</v>
      </c>
      <c r="E457" s="273">
        <f>K453+E453</f>
        <v>3112566597416.0767</v>
      </c>
      <c r="F457" s="249" t="s">
        <v>655</v>
      </c>
      <c r="G457"/>
      <c r="H457" s="279" t="str" cm="1">
        <f t="array" ref="H457">INDEX(LEN_REPORT[],63,MATCH(CONDITIONS!$E$3,Len_DB!$C$8:$H$8,0)+1)</f>
        <v>Distance between centres of mass of (1) and (2)</v>
      </c>
      <c r="K457" s="266">
        <f>K421</f>
        <v>200</v>
      </c>
      <c r="L457" s="277" t="s">
        <v>559</v>
      </c>
    </row>
    <row r="458" spans="2:12" ht="26.25" customHeight="1">
      <c r="B458" s="168"/>
      <c r="E458" s="273">
        <f>(K455*E455)/(K455+E455)</f>
        <v>126791298.67945655</v>
      </c>
      <c r="F458" s="249" t="s">
        <v>642</v>
      </c>
      <c r="G458"/>
      <c r="H458" s="279"/>
      <c r="I458"/>
      <c r="J458"/>
      <c r="K458" s="266"/>
      <c r="L458" s="277"/>
    </row>
    <row r="459" spans="2:12" ht="7.5" customHeight="1">
      <c r="B459"/>
      <c r="C459"/>
      <c r="D459"/>
      <c r="E459" s="254"/>
      <c r="G459"/>
      <c r="H459"/>
      <c r="I459"/>
      <c r="J459"/>
      <c r="L459"/>
    </row>
    <row r="460" spans="2:12" ht="15">
      <c r="B460" s="249" t="str" cm="1">
        <f t="array" ref="B460">INDEX(LEN_REPORT[],57,MATCH(CONDITIONS!$E$3,Len_DB!$C$8:$H$8,0)+1)</f>
        <v>Bending stiffness</v>
      </c>
      <c r="G460"/>
      <c r="H460"/>
      <c r="I460"/>
      <c r="J460"/>
      <c r="K460"/>
      <c r="L460"/>
    </row>
    <row r="461" spans="2:12" ht="30" customHeight="1">
      <c r="C461" s="179"/>
      <c r="D461" s="179"/>
      <c r="E461" s="273">
        <f>E457+E458*K457^2</f>
        <v>8184218544594.3379</v>
      </c>
      <c r="F461" s="249" t="s">
        <v>655</v>
      </c>
      <c r="G461"/>
      <c r="H461"/>
      <c r="I461"/>
      <c r="J461"/>
      <c r="K461"/>
      <c r="L461"/>
    </row>
    <row r="462" spans="2:12" ht="7.5" customHeight="1">
      <c r="B462"/>
      <c r="C462"/>
      <c r="D462"/>
      <c r="E462"/>
      <c r="F462"/>
      <c r="G462"/>
      <c r="H462"/>
      <c r="I462"/>
      <c r="J462"/>
      <c r="K462"/>
      <c r="L462"/>
    </row>
    <row r="463" spans="2:12" customFormat="1" ht="15" customHeight="1">
      <c r="B463" s="178" t="str" cm="1">
        <f t="array" ref="B463">INDEX(LEN_REPORT[],64,MATCH(CONDITIONS!$E$3,Len_DB!$C$8:$H$8,0)+1)</f>
        <v>Composite system effective stiffness</v>
      </c>
      <c r="C463" s="178"/>
      <c r="D463" s="178"/>
      <c r="E463" s="178"/>
      <c r="F463" s="178"/>
    </row>
    <row r="464" spans="2:12" ht="3.75" customHeight="1">
      <c r="B464" s="117"/>
      <c r="C464" s="117"/>
      <c r="D464" s="117"/>
      <c r="E464" s="117"/>
      <c r="F464" s="117"/>
      <c r="G464"/>
      <c r="H464"/>
      <c r="I464"/>
      <c r="J464"/>
      <c r="K464"/>
      <c r="L464"/>
    </row>
    <row r="465" spans="2:12" ht="37.5" customHeight="1">
      <c r="E465" s="275">
        <f>1/(1+((3.14^2)*E455*K143)/(E444*E119^2))</f>
        <v>0.72247827312851431</v>
      </c>
      <c r="G465"/>
      <c r="H465"/>
      <c r="I465"/>
      <c r="J465"/>
      <c r="K465"/>
      <c r="L465"/>
    </row>
    <row r="466" spans="2:12" ht="37.5" customHeight="1">
      <c r="E466" s="274">
        <f>(E465*E455*K457)/(E465*E455+K455)</f>
        <v>58.492697162182495</v>
      </c>
      <c r="F466" s="249" t="s">
        <v>559</v>
      </c>
      <c r="G466"/>
      <c r="H466"/>
      <c r="I466"/>
      <c r="J466"/>
      <c r="K466"/>
      <c r="L466"/>
    </row>
    <row r="467" spans="2:12" ht="15">
      <c r="C467" s="179" t="s">
        <v>659</v>
      </c>
      <c r="D467" s="179"/>
      <c r="E467" s="274">
        <f>K457-E466</f>
        <v>141.50730283781752</v>
      </c>
      <c r="F467" s="249" t="s">
        <v>559</v>
      </c>
      <c r="G467"/>
      <c r="H467"/>
      <c r="I467"/>
      <c r="J467"/>
      <c r="K467"/>
      <c r="L467"/>
    </row>
    <row r="468" spans="2:12" ht="15">
      <c r="G468"/>
      <c r="H468"/>
      <c r="I468"/>
      <c r="J468"/>
      <c r="K468"/>
      <c r="L468"/>
    </row>
    <row r="469" spans="2:12" ht="28.5" customHeight="1">
      <c r="B469"/>
      <c r="C469"/>
      <c r="D469"/>
      <c r="E469" s="273">
        <f>E453+K453+K455*E466^2+E455*E467^2*E465</f>
        <v>7188365424527.6816</v>
      </c>
      <c r="F469" s="249" t="s">
        <v>655</v>
      </c>
      <c r="G469"/>
    </row>
    <row r="470" spans="2:12" ht="15">
      <c r="B470"/>
      <c r="C470"/>
      <c r="D470"/>
      <c r="E470"/>
      <c r="F470"/>
      <c r="G470"/>
    </row>
    <row r="471" spans="2:12" ht="15">
      <c r="B471" s="249" t="str" cm="1">
        <f t="array" ref="B471">INDEX(LEN_REPORT[],65,MATCH(CONDITIONS!$E$3,Len_DB!$C$8:$H$8,0)+1)</f>
        <v>Composite system efficency</v>
      </c>
      <c r="C471"/>
      <c r="D471"/>
      <c r="E471"/>
      <c r="F471"/>
      <c r="G471"/>
      <c r="H471"/>
      <c r="I471"/>
      <c r="J471"/>
      <c r="K471"/>
      <c r="L471"/>
    </row>
    <row r="472" spans="2:12" ht="7.5" customHeight="1">
      <c r="B472"/>
      <c r="C472"/>
      <c r="D472"/>
      <c r="E472"/>
      <c r="F472"/>
      <c r="G472"/>
      <c r="H472"/>
      <c r="I472"/>
      <c r="J472"/>
      <c r="K472"/>
      <c r="L472"/>
    </row>
    <row r="473" spans="2:12" ht="30" customHeight="1">
      <c r="B473"/>
      <c r="C473"/>
      <c r="D473"/>
      <c r="E473" s="275">
        <f>(E469-E457)/(E461-E457)</f>
        <v>0.80364324475761317</v>
      </c>
      <c r="F473"/>
      <c r="G473"/>
      <c r="H473"/>
      <c r="I473"/>
      <c r="J473"/>
      <c r="K473"/>
      <c r="L473"/>
    </row>
    <row r="474" spans="2:12" ht="7.5" customHeight="1">
      <c r="G474" s="254"/>
      <c r="H474"/>
      <c r="I474"/>
      <c r="J474"/>
      <c r="K474"/>
      <c r="L474"/>
    </row>
    <row r="475" spans="2:12" ht="18" customHeight="1">
      <c r="B475" s="177" t="str" cm="1">
        <f t="array" ref="B475">INDEX(LEN_REPORT[],99,MATCH(CONDITIONS!$E$3,Len_DB!$C$8:$H$8,0)+1)</f>
        <v>Deflection verification</v>
      </c>
      <c r="C475" s="177"/>
      <c r="D475" s="177"/>
      <c r="E475" s="177"/>
      <c r="F475" s="177"/>
      <c r="G475" s="177"/>
      <c r="H475" s="177"/>
      <c r="I475" s="177"/>
      <c r="J475" s="177"/>
      <c r="K475" s="177"/>
      <c r="L475" s="177"/>
    </row>
    <row r="476" spans="2:12" ht="3.75" customHeight="1"/>
    <row r="477" spans="2:12">
      <c r="B477" s="178" t="str" cm="1">
        <f t="array" ref="B477">INDEX(LEN_REPORT[],100,MATCH(CONDITIONS!$E$3,Len_DB!$C$8:$H$8,0)+1)</f>
        <v>Deflection at t = 0</v>
      </c>
      <c r="C477" s="178"/>
      <c r="D477" s="178"/>
      <c r="E477" s="178"/>
      <c r="F477" s="178"/>
      <c r="G477" s="117"/>
      <c r="H477" s="178" t="str" cm="1">
        <f t="array" ref="H477">INDEX(LEN_REPORT[],101,MATCH(CONDITIONS!$E$3,Len_DB!$C$8:$H$8,0)+1)</f>
        <v>Deflection at t = ∞</v>
      </c>
      <c r="I477" s="178"/>
      <c r="J477" s="178"/>
      <c r="K477" s="178"/>
      <c r="L477" s="178"/>
    </row>
    <row r="478" spans="2:12" ht="3.75" customHeight="1"/>
    <row r="479" spans="2:12">
      <c r="B479" s="249" t="str" cm="1">
        <f t="array" ref="B479">INDEX(LEN_REPORT[],102,MATCH(CONDITIONS!$E$3,Len_DB!$C$8:$H$8,0)+1)</f>
        <v>Istantaneous deflection [g] (t = 0)</v>
      </c>
      <c r="H479" s="249" t="str" cm="1">
        <f t="array" ref="H479">INDEX(LEN_REPORT[],104,MATCH(CONDITIONS!$E$3,Len_DB!$C$8:$H$8,0)+1)</f>
        <v>Long term deflection [g] (t = ∞)</v>
      </c>
    </row>
    <row r="480" spans="2:12" ht="28.5" customHeight="1">
      <c r="B480" s="216"/>
      <c r="C480" s="216"/>
      <c r="D480" s="216"/>
      <c r="E480" s="275">
        <f>5/384*1.1*E157*$E$119^4/E433</f>
        <v>2.887895138343525</v>
      </c>
      <c r="F480" s="249" t="s">
        <v>559</v>
      </c>
      <c r="G480"/>
      <c r="H480" s="216"/>
      <c r="I480" s="216"/>
      <c r="J480" s="216"/>
      <c r="K480" s="275">
        <f>5/384*1.1*'Calculation Report'!E157*'Calculation Report'!$E$119^4/'Calculation Report'!E469</f>
        <v>4.8805427838005571</v>
      </c>
      <c r="L480" s="249" t="s">
        <v>559</v>
      </c>
    </row>
    <row r="481" spans="2:12" ht="3.75" customHeight="1">
      <c r="F481" s="249"/>
      <c r="K481" s="275"/>
      <c r="L481" s="249"/>
    </row>
    <row r="482" spans="2:12">
      <c r="B482" s="249" t="str" cm="1">
        <f t="array" ref="B482">INDEX(LEN_REPORT[],103,MATCH(CONDITIONS!$E$3,Len_DB!$C$8:$H$8,0)+1)</f>
        <v>Istantaneous deflection [q] (t = 0)</v>
      </c>
      <c r="F482" s="249"/>
      <c r="H482" s="249" t="str" cm="1">
        <f t="array" ref="H482">INDEX(LEN_REPORT[],105,MATCH(CONDITIONS!$E$3,Len_DB!$C$8:$H$8,0)+1)</f>
        <v>Long term deflection [q] (t = ∞)</v>
      </c>
      <c r="K482" s="275"/>
      <c r="L482" s="249"/>
    </row>
    <row r="483" spans="2:12" ht="28.5" customHeight="1">
      <c r="B483" s="216"/>
      <c r="C483" s="216"/>
      <c r="D483" s="216"/>
      <c r="E483" s="275">
        <f>5/384*1.1*E158*$E$119^4/E433</f>
        <v>1.8335842148212855</v>
      </c>
      <c r="F483" s="249" t="s">
        <v>559</v>
      </c>
      <c r="G483"/>
      <c r="H483" s="216"/>
      <c r="I483" s="216"/>
      <c r="J483" s="216"/>
      <c r="K483" s="275">
        <f>5/384*1.1*'Calculation Report'!E158*'Calculation Report'!$E$119^4/'Calculation Report'!E469</f>
        <v>3.0987573230479724</v>
      </c>
      <c r="L483" s="249" t="s">
        <v>559</v>
      </c>
    </row>
    <row r="484" spans="2:12" ht="3.75" customHeight="1">
      <c r="B484"/>
      <c r="C484"/>
      <c r="D484"/>
      <c r="E484"/>
      <c r="F484" s="120"/>
      <c r="G484"/>
      <c r="H484"/>
      <c r="I484"/>
      <c r="J484"/>
      <c r="K484" s="275"/>
      <c r="L484" s="120"/>
    </row>
    <row r="485" spans="2:12" ht="15">
      <c r="C485" s="163" t="s">
        <v>661</v>
      </c>
      <c r="D485" s="254"/>
      <c r="E485" s="164">
        <f>E483+E480</f>
        <v>4.7214793531648107</v>
      </c>
      <c r="F485" s="249" t="s">
        <v>559</v>
      </c>
      <c r="G485"/>
      <c r="H485"/>
      <c r="I485" s="163" t="s">
        <v>661</v>
      </c>
      <c r="J485" s="254"/>
      <c r="K485" s="164">
        <f>K480+K483*E52</f>
        <v>5.8101699807149485</v>
      </c>
      <c r="L485" s="249" t="s">
        <v>559</v>
      </c>
    </row>
    <row r="486" spans="2:12" ht="3.75" customHeight="1">
      <c r="B486"/>
      <c r="C486"/>
      <c r="D486"/>
      <c r="E486"/>
      <c r="F486"/>
      <c r="G486"/>
      <c r="H486"/>
      <c r="I486"/>
      <c r="J486"/>
      <c r="K486" s="275"/>
      <c r="L486"/>
    </row>
    <row r="487" spans="2:12" ht="15">
      <c r="B487"/>
      <c r="C487" s="163" t="s">
        <v>662</v>
      </c>
      <c r="D487" s="254" t="str">
        <f>"L / " &amp; Output!E53</f>
        <v>L / 400</v>
      </c>
      <c r="E487" s="275">
        <f>Output!J55</f>
        <v>15</v>
      </c>
      <c r="F487" s="249" t="s">
        <v>559</v>
      </c>
      <c r="G487"/>
      <c r="H487"/>
      <c r="I487" s="163" t="s">
        <v>662</v>
      </c>
      <c r="J487" s="254" t="str">
        <f>"L / " &amp; Output!E61</f>
        <v>L / 300</v>
      </c>
      <c r="K487" s="275">
        <f>Output!J63</f>
        <v>20</v>
      </c>
      <c r="L487" s="249" t="s">
        <v>559</v>
      </c>
    </row>
    <row r="488" spans="2:12" ht="171" customHeight="1">
      <c r="B488"/>
      <c r="C488"/>
      <c r="D488"/>
      <c r="E488"/>
      <c r="F488"/>
      <c r="G488"/>
      <c r="H488"/>
    </row>
    <row r="489" spans="2:12" ht="45" customHeight="1">
      <c r="G489" s="254"/>
    </row>
    <row r="490" spans="2:12" ht="30" customHeight="1">
      <c r="B490" s="215" t="str" cm="1">
        <f t="array" ref="B490">INDEX(LEN_REPORT[],106,MATCH(CONDITIONS!$E$3,Len_DB!$C$8:$H$8,0)+1)</f>
        <v>Vibration verification</v>
      </c>
      <c r="C490" s="215"/>
      <c r="D490" s="215"/>
      <c r="E490" s="215"/>
      <c r="F490" s="215"/>
      <c r="G490" s="215"/>
      <c r="H490" s="215"/>
      <c r="I490" s="215"/>
      <c r="J490" s="215"/>
      <c r="K490" s="215"/>
      <c r="L490" s="215"/>
    </row>
    <row r="491" spans="2:12" ht="3.75" customHeight="1"/>
    <row r="492" spans="2:12" ht="25.5">
      <c r="B492" s="267" t="str" cm="1">
        <f t="array" ref="B492">INDEX(LEN_REPORT[],107,MATCH(CONDITIONS!$E$3,Len_DB!$C$8:$H$8,0)+1)</f>
        <v>Mass per unit of area</v>
      </c>
      <c r="C492" s="179" t="s">
        <v>588</v>
      </c>
      <c r="D492" s="179"/>
      <c r="E492" s="275">
        <f>Input!$E$14*1000/9.81</f>
        <v>321.10091743119267</v>
      </c>
      <c r="F492" s="249" t="s">
        <v>663</v>
      </c>
      <c r="G492"/>
      <c r="H492"/>
    </row>
    <row r="493" spans="2:12" ht="3.75" customHeight="1">
      <c r="B493" s="106"/>
      <c r="C493"/>
      <c r="D493"/>
      <c r="E493"/>
      <c r="F493"/>
      <c r="G493"/>
      <c r="H493"/>
    </row>
    <row r="494" spans="2:12" ht="38.25">
      <c r="B494" s="267" t="str" cm="1">
        <f t="array" ref="B494">INDEX(LEN_REPORT[],108,MATCH(CONDITIONS!$E$3,Len_DB!$C$8:$H$8,0)+1)</f>
        <v>Transversal stiffness per unit meter</v>
      </c>
      <c r="C494" s="179" t="s">
        <v>664</v>
      </c>
      <c r="D494" s="179"/>
      <c r="E494" s="273">
        <f>Output!D71</f>
        <v>7333333.333333333</v>
      </c>
      <c r="F494" s="267" t="s">
        <v>665</v>
      </c>
      <c r="G494"/>
      <c r="H494" s="267" t="str" cm="1">
        <f t="array" ref="H494">INDEX(LEN_REPORT[],111,MATCH(CONDITIONS!$E$3,Len_DB!$C$8:$H$8,0)+1)</f>
        <v>Longitudinal stiffness per unit meter</v>
      </c>
      <c r="I494" s="179" t="s">
        <v>666</v>
      </c>
      <c r="J494" s="179"/>
      <c r="K494" s="273">
        <f>E433/(Input!$E$30/1000)</f>
        <v>20247229279086.305</v>
      </c>
      <c r="L494" s="267" t="s">
        <v>665</v>
      </c>
    </row>
    <row r="495" spans="2:12" ht="3.75" customHeight="1">
      <c r="B495" s="106"/>
      <c r="C495"/>
      <c r="D495"/>
      <c r="E495"/>
      <c r="F495"/>
      <c r="G495"/>
      <c r="H495"/>
    </row>
    <row r="496" spans="2:12" ht="15">
      <c r="B496" s="267" t="str" cm="1">
        <f t="array" ref="B496">INDEX(LEN_REPORT[],109,MATCH(CONDITIONS!$E$3,Len_DB!$C$8:$H$8,0)+1)</f>
        <v>Dampening</v>
      </c>
      <c r="C496" s="179" t="s">
        <v>586</v>
      </c>
      <c r="D496" s="179"/>
      <c r="E496" s="280">
        <f>Output!$E$72</f>
        <v>0.04</v>
      </c>
      <c r="G496"/>
      <c r="H496"/>
    </row>
    <row r="497" spans="2:8" ht="3.75" customHeight="1">
      <c r="B497" s="267"/>
      <c r="C497"/>
      <c r="D497"/>
      <c r="E497"/>
      <c r="F497"/>
      <c r="G497"/>
      <c r="H497"/>
    </row>
    <row r="498" spans="2:8" ht="15">
      <c r="B498" s="267" t="str" cm="1">
        <f t="array" ref="B498">INDEX(LEN_REPORT[],110,MATCH(CONDITIONS!$E$3,Len_DB!$C$8:$H$8,0)+1)</f>
        <v>Effective width</v>
      </c>
      <c r="C498" s="179" t="s">
        <v>667</v>
      </c>
      <c r="D498" s="179"/>
      <c r="E498" s="275">
        <f>MAX(Input!$E$33/1000/1.1*('Calculation Report'!$E$494/(K494))^0.25,Input!$E$30/1000)</f>
        <v>0.6</v>
      </c>
      <c r="F498" s="249" t="s">
        <v>588</v>
      </c>
      <c r="G498"/>
      <c r="H498"/>
    </row>
    <row r="499" spans="2:8" ht="3.75" customHeight="1">
      <c r="B499" s="267"/>
      <c r="C499"/>
      <c r="D499"/>
      <c r="E499"/>
      <c r="F499"/>
      <c r="G499"/>
      <c r="H499"/>
    </row>
    <row r="500" spans="2:8" ht="25.5">
      <c r="B500" s="267" t="str" cm="1">
        <f t="array" ref="B500">INDEX(LEN_REPORT[],112,MATCH(CONDITIONS!$E$3,Len_DB!$C$8:$H$8,0)+1)</f>
        <v>Fundamental frequency</v>
      </c>
      <c r="C500" s="179" t="s">
        <v>668</v>
      </c>
      <c r="D500" s="179"/>
      <c r="E500" s="275">
        <f>3.14/2/(Input!$E$33/1000)^2*SQRT('Calculation Report'!E433*10^-6/'Calculation Report'!$E$492)</f>
        <v>8.4827135957652082</v>
      </c>
      <c r="F500" s="249" t="s">
        <v>585</v>
      </c>
      <c r="G500"/>
      <c r="H500"/>
    </row>
    <row r="501" spans="2:8" ht="7.5" customHeight="1">
      <c r="B501" s="267"/>
      <c r="C501"/>
      <c r="D501"/>
      <c r="E501"/>
      <c r="F501" s="249"/>
      <c r="G501"/>
      <c r="H501"/>
    </row>
    <row r="502" spans="2:8" ht="38.25">
      <c r="B502" s="267" t="str" cm="1">
        <f t="array" ref="B502">INDEX(LEN_REPORT[],113,MATCH(CONDITIONS!$E$3,Len_DB!$C$8:$H$8,0)+1)</f>
        <v>Deflection verification (1kN)</v>
      </c>
      <c r="C502"/>
      <c r="D502"/>
      <c r="E502" s="164">
        <f>1/48*1000*Input!$E$33^3/(K494*E498)</f>
        <v>0.37042105349924953</v>
      </c>
      <c r="F502" s="249" t="s">
        <v>559</v>
      </c>
      <c r="G502"/>
      <c r="H502"/>
    </row>
    <row r="503" spans="2:8" ht="3.75" customHeight="1">
      <c r="B503" s="267"/>
      <c r="C503"/>
      <c r="D503"/>
      <c r="E503"/>
      <c r="F503" s="249"/>
      <c r="G503"/>
      <c r="H503"/>
    </row>
    <row r="504" spans="2:8" ht="15">
      <c r="B504" s="267" t="str" cm="1">
        <f t="array" ref="B504">INDEX(LEN_REPORT[],114,MATCH(CONDITIONS!$E$3,Len_DB!$C$8:$H$8,0)+1)</f>
        <v>Deflection limit</v>
      </c>
      <c r="C504" s="179" t="s">
        <v>669</v>
      </c>
      <c r="D504" s="179"/>
      <c r="E504" s="254">
        <f>Output!$J$75</f>
        <v>1</v>
      </c>
      <c r="F504" s="249" t="s">
        <v>559</v>
      </c>
      <c r="G504"/>
      <c r="H504"/>
    </row>
    <row r="505" spans="2:8" ht="15">
      <c r="B505"/>
      <c r="C505"/>
      <c r="D505"/>
      <c r="E505"/>
      <c r="F505"/>
      <c r="G505"/>
      <c r="H505"/>
    </row>
    <row r="506" spans="2:8" ht="38.25">
      <c r="B506" s="267" t="str" cm="1">
        <f t="array" ref="B506">INDEX(LEN_REPORT[],115,MATCH(CONDITIONS!$E$3,Len_DB!$C$8:$H$8,0)+1)</f>
        <v>Number of vibration modes (f&lt;40Hz)</v>
      </c>
      <c r="C506" s="231" t="s">
        <v>670</v>
      </c>
      <c r="D506" s="231"/>
      <c r="E506" s="254">
        <f>ROUNDDOWN(6.3*SQRT(1/E500),0)</f>
        <v>2</v>
      </c>
      <c r="F506"/>
      <c r="G506"/>
      <c r="H506"/>
    </row>
    <row r="507" spans="2:8" ht="3.75" customHeight="1">
      <c r="B507" s="267"/>
      <c r="C507"/>
      <c r="D507"/>
      <c r="E507"/>
      <c r="F507"/>
      <c r="G507"/>
      <c r="H507"/>
    </row>
    <row r="508" spans="2:8" ht="25.5">
      <c r="B508" s="267" t="str" cm="1">
        <f t="array" ref="B508">INDEX(LEN_REPORT[],116,MATCH(CONDITIONS!$E$3,Len_DB!$C$8:$H$8,0)+1)</f>
        <v>Impulse response</v>
      </c>
      <c r="C508" s="179" t="s">
        <v>591</v>
      </c>
      <c r="D508" s="179"/>
      <c r="E508" s="254">
        <f>+(0.4+0.6*E506)/($E$492*E498*Input!$E$33/1000/2+50)</f>
        <v>2.5478451424397371E-3</v>
      </c>
      <c r="F508" s="249" t="s">
        <v>671</v>
      </c>
      <c r="G508"/>
      <c r="H508"/>
    </row>
    <row r="509" spans="2:8" ht="3.75" customHeight="1">
      <c r="B509" s="267"/>
      <c r="C509"/>
      <c r="D509"/>
      <c r="E509" s="254"/>
      <c r="F509" s="249"/>
      <c r="G509"/>
      <c r="H509"/>
    </row>
    <row r="510" spans="2:8" ht="15">
      <c r="B510" s="267" t="str" cm="1">
        <f t="array" ref="B510">INDEX(LEN_REPORT[],109,MATCH(CONDITIONS!$E$3,Len_DB!$C$8:$H$8,0)+1)</f>
        <v>Dampening</v>
      </c>
      <c r="C510" s="179" t="s">
        <v>586</v>
      </c>
      <c r="D510" s="179"/>
      <c r="E510" s="281">
        <f>E496</f>
        <v>0.04</v>
      </c>
      <c r="F510" s="249"/>
      <c r="G510"/>
      <c r="H510"/>
    </row>
    <row r="511" spans="2:8" ht="3.75" customHeight="1">
      <c r="B511" s="267"/>
      <c r="C511"/>
      <c r="D511"/>
      <c r="E511" s="254"/>
      <c r="F511" s="249"/>
      <c r="G511"/>
      <c r="H511"/>
    </row>
    <row r="512" spans="2:8" ht="18">
      <c r="B512" s="267" t="str" cm="1">
        <f t="array" ref="B512">INDEX(LEN_REPORT[],117,MATCH(CONDITIONS!$E$3,Len_DB!$C$8:$H$8,0)+1)</f>
        <v>Speed limit</v>
      </c>
      <c r="C512" s="179" t="s">
        <v>672</v>
      </c>
      <c r="D512" s="179"/>
      <c r="E512" s="254">
        <f>120^(E500*E510-1)</f>
        <v>4.2296332833244445E-2</v>
      </c>
      <c r="F512" s="249" t="s">
        <v>671</v>
      </c>
      <c r="G512"/>
      <c r="H512"/>
    </row>
    <row r="513" spans="2:12" ht="3.75" customHeight="1">
      <c r="B513" s="267"/>
      <c r="C513"/>
      <c r="D513"/>
      <c r="E513"/>
      <c r="F513" s="249"/>
      <c r="G513"/>
      <c r="H513"/>
    </row>
    <row r="514" spans="2:12" ht="25.5">
      <c r="B514" s="267" t="str" cm="1">
        <f t="array" ref="B514">INDEX(LEN_REPORT[],118,MATCH(CONDITIONS!$E$3,Len_DB!$C$8:$H$8,0)+1)</f>
        <v>Maximum acelleration</v>
      </c>
      <c r="C514" s="179" t="s">
        <v>673</v>
      </c>
      <c r="D514" s="179"/>
      <c r="E514" s="275">
        <f>16.8/($E$492*E498*Input!$E$33/1000)*1/($E$496)</f>
        <v>0.36333333333333329</v>
      </c>
      <c r="F514" s="249" t="s">
        <v>674</v>
      </c>
      <c r="G514"/>
      <c r="H514" s="230" t="str">
        <f>IF(E514&lt;=0.1,RefText_DB!$B$15,IF(E514&lt;0.35,RefText_DB!$B$16,RefText_DB!$B$17))</f>
        <v>Unacceptable vibrations</v>
      </c>
      <c r="I514" s="230"/>
      <c r="J514" s="230"/>
      <c r="K514" s="230"/>
      <c r="L514" s="230"/>
    </row>
    <row r="515" spans="2:12" ht="3.75" customHeight="1">
      <c r="B515" s="267"/>
      <c r="C515"/>
      <c r="D515"/>
      <c r="E515"/>
      <c r="F515"/>
      <c r="G515"/>
      <c r="H515"/>
    </row>
    <row r="516" spans="2:12" ht="15" customHeight="1">
      <c r="B516" s="229" t="s">
        <v>675</v>
      </c>
      <c r="C516" s="229"/>
      <c r="D516" s="229"/>
      <c r="E516" s="229"/>
      <c r="F516" s="229"/>
      <c r="G516" s="229"/>
      <c r="H516" s="229"/>
      <c r="I516" s="229"/>
      <c r="J516" s="229"/>
      <c r="K516" s="229"/>
      <c r="L516" s="229"/>
    </row>
    <row r="517" spans="2:12" ht="15" customHeight="1">
      <c r="B517" s="229"/>
      <c r="C517" s="229"/>
      <c r="D517" s="229"/>
      <c r="E517" s="229"/>
      <c r="F517" s="229"/>
      <c r="G517" s="229"/>
      <c r="H517" s="229"/>
      <c r="I517" s="229"/>
      <c r="J517" s="229"/>
      <c r="K517" s="229"/>
      <c r="L517" s="229"/>
    </row>
    <row r="518" spans="2:12" ht="15" customHeight="1">
      <c r="B518" s="229"/>
      <c r="C518" s="229"/>
      <c r="D518" s="229"/>
      <c r="E518" s="229"/>
      <c r="F518" s="229"/>
      <c r="G518" s="229"/>
      <c r="H518" s="229"/>
      <c r="I518" s="229"/>
      <c r="J518" s="229"/>
      <c r="K518" s="229"/>
      <c r="L518" s="229"/>
    </row>
    <row r="519" spans="2:12" ht="15" customHeight="1">
      <c r="B519" s="229"/>
      <c r="C519" s="229"/>
      <c r="D519" s="229"/>
      <c r="E519" s="229"/>
      <c r="F519" s="229"/>
      <c r="G519" s="229"/>
      <c r="H519" s="229"/>
      <c r="I519" s="229"/>
      <c r="J519" s="229"/>
      <c r="K519" s="229"/>
      <c r="L519" s="229"/>
    </row>
    <row r="520" spans="2:12" ht="15" customHeight="1">
      <c r="B520" s="229"/>
      <c r="C520" s="229"/>
      <c r="D520" s="229"/>
      <c r="E520" s="229"/>
      <c r="F520" s="229"/>
      <c r="G520" s="229"/>
      <c r="H520" s="229"/>
      <c r="I520" s="229"/>
      <c r="J520" s="229"/>
      <c r="K520" s="229"/>
      <c r="L520" s="229"/>
    </row>
    <row r="521" spans="2:12" ht="15" customHeight="1">
      <c r="B521" s="229"/>
      <c r="C521" s="229"/>
      <c r="D521" s="229"/>
      <c r="E521" s="229"/>
      <c r="F521" s="229"/>
      <c r="G521" s="229"/>
      <c r="H521" s="229"/>
      <c r="I521" s="229"/>
      <c r="J521" s="229"/>
      <c r="K521" s="229"/>
      <c r="L521" s="229"/>
    </row>
    <row r="522" spans="2:12" ht="15" customHeight="1">
      <c r="B522" s="229"/>
      <c r="C522" s="229"/>
      <c r="D522" s="229"/>
      <c r="E522" s="229"/>
      <c r="F522" s="229"/>
      <c r="G522" s="229"/>
      <c r="H522" s="229"/>
      <c r="I522" s="229"/>
      <c r="J522" s="229"/>
      <c r="K522" s="229"/>
      <c r="L522" s="229"/>
    </row>
    <row r="523" spans="2:12" ht="15" customHeight="1">
      <c r="B523" s="229"/>
      <c r="C523" s="229"/>
      <c r="D523" s="229"/>
      <c r="E523" s="229"/>
      <c r="F523" s="229"/>
      <c r="G523" s="229"/>
      <c r="H523" s="229"/>
      <c r="I523" s="229"/>
      <c r="J523" s="229"/>
      <c r="K523" s="229"/>
      <c r="L523" s="229"/>
    </row>
    <row r="524" spans="2:12" ht="15" customHeight="1">
      <c r="B524" s="229"/>
      <c r="C524" s="229"/>
      <c r="D524" s="229"/>
      <c r="E524" s="229"/>
      <c r="F524" s="229"/>
      <c r="G524" s="229"/>
      <c r="H524" s="229"/>
      <c r="I524" s="229"/>
      <c r="J524" s="229"/>
      <c r="K524" s="229"/>
      <c r="L524" s="229"/>
    </row>
    <row r="525" spans="2:12" ht="15" customHeight="1">
      <c r="B525" s="229"/>
      <c r="C525" s="229"/>
      <c r="D525" s="229"/>
      <c r="E525" s="229"/>
      <c r="F525" s="229"/>
      <c r="G525" s="229"/>
      <c r="H525" s="229"/>
      <c r="I525" s="229"/>
      <c r="J525" s="229"/>
      <c r="K525" s="229"/>
      <c r="L525" s="229"/>
    </row>
    <row r="526" spans="2:12" ht="15" customHeight="1">
      <c r="B526" s="229"/>
      <c r="C526" s="229"/>
      <c r="D526" s="229"/>
      <c r="E526" s="229"/>
      <c r="F526" s="229"/>
      <c r="G526" s="229"/>
      <c r="H526" s="229"/>
      <c r="I526" s="229"/>
      <c r="J526" s="229"/>
      <c r="K526" s="229"/>
      <c r="L526" s="229"/>
    </row>
    <row r="527" spans="2:12" ht="15" customHeight="1">
      <c r="B527" s="229"/>
      <c r="C527" s="229"/>
      <c r="D527" s="229"/>
      <c r="E527" s="229"/>
      <c r="F527" s="229"/>
      <c r="G527" s="229"/>
      <c r="H527" s="229"/>
      <c r="I527" s="229"/>
      <c r="J527" s="229"/>
      <c r="K527" s="229"/>
      <c r="L527" s="229"/>
    </row>
    <row r="528" spans="2:12" ht="15" customHeight="1">
      <c r="B528" s="229"/>
      <c r="C528" s="229"/>
      <c r="D528" s="229"/>
      <c r="E528" s="229"/>
      <c r="F528" s="229"/>
      <c r="G528" s="229"/>
      <c r="H528" s="229"/>
      <c r="I528" s="229"/>
      <c r="J528" s="229"/>
      <c r="K528" s="229"/>
      <c r="L528" s="229"/>
    </row>
    <row r="529" spans="2:12" ht="15" customHeight="1">
      <c r="B529" s="229"/>
      <c r="C529" s="229"/>
      <c r="D529" s="229"/>
      <c r="E529" s="229"/>
      <c r="F529" s="229"/>
      <c r="G529" s="229"/>
      <c r="H529" s="229"/>
      <c r="I529" s="229"/>
      <c r="J529" s="229"/>
      <c r="K529" s="229"/>
      <c r="L529" s="229"/>
    </row>
    <row r="530" spans="2:12" ht="15" customHeight="1">
      <c r="B530" s="229"/>
      <c r="C530" s="229"/>
      <c r="D530" s="229"/>
      <c r="E530" s="229"/>
      <c r="F530" s="229"/>
      <c r="G530" s="229"/>
      <c r="H530" s="229"/>
      <c r="I530" s="229"/>
      <c r="J530" s="229"/>
      <c r="K530" s="229"/>
      <c r="L530" s="229"/>
    </row>
    <row r="531" spans="2:12" ht="15" customHeight="1">
      <c r="B531" s="229"/>
      <c r="C531" s="229"/>
      <c r="D531" s="229"/>
      <c r="E531" s="229"/>
      <c r="F531" s="229"/>
      <c r="G531" s="229"/>
      <c r="H531" s="229"/>
      <c r="I531" s="229"/>
      <c r="J531" s="229"/>
      <c r="K531" s="229"/>
      <c r="L531" s="229"/>
    </row>
    <row r="532" spans="2:12" ht="15" customHeight="1">
      <c r="B532" s="229"/>
      <c r="C532" s="229"/>
      <c r="D532" s="229"/>
      <c r="E532" s="229"/>
      <c r="F532" s="229"/>
      <c r="G532" s="229"/>
      <c r="H532" s="229"/>
      <c r="I532" s="229"/>
      <c r="J532" s="229"/>
      <c r="K532" s="229"/>
      <c r="L532" s="229"/>
    </row>
    <row r="533" spans="2:12" ht="15.75" customHeight="1">
      <c r="B533" s="229"/>
      <c r="C533" s="229"/>
      <c r="D533" s="229"/>
      <c r="E533" s="229"/>
      <c r="F533" s="229"/>
      <c r="G533" s="229"/>
      <c r="H533" s="229"/>
      <c r="I533" s="229"/>
      <c r="J533" s="229"/>
      <c r="K533" s="229"/>
      <c r="L533" s="229"/>
    </row>
    <row r="534" spans="2:12" ht="15">
      <c r="B534"/>
      <c r="C534"/>
      <c r="D534"/>
      <c r="E534"/>
      <c r="F534"/>
      <c r="G534"/>
      <c r="H534"/>
    </row>
    <row r="535" spans="2:12"/>
    <row r="536" spans="2:12" ht="15">
      <c r="B536" t="s">
        <v>676</v>
      </c>
      <c r="C536" s="228" t="str" cm="1">
        <f t="array" ref="C536">IF(LEFT(Input!I5,3)="UNI",INDEX(LEN_REPORT[],119,MATCH(CONDITIONS!$E$3,Len_DB!$C$8:$H$8,0)+1),"NTC 2018 – D.M. 17/01/2018, Norme Tecniche per le Costruzioni.")</f>
        <v>UNI EN 1995-1-1:2014 (Eurocode 5) – Design of timber structures – Part 1-1: General rules and rules for buildings.</v>
      </c>
      <c r="D536" s="228"/>
      <c r="E536" s="228"/>
      <c r="F536" s="228"/>
      <c r="G536" s="228"/>
      <c r="H536" s="228"/>
      <c r="I536" s="228"/>
      <c r="J536" s="228"/>
      <c r="K536" s="228"/>
      <c r="L536" s="228"/>
    </row>
    <row r="537" spans="2:12" ht="15">
      <c r="B537"/>
      <c r="C537" s="228"/>
      <c r="D537" s="228"/>
      <c r="E537" s="228"/>
      <c r="F537" s="228"/>
      <c r="G537" s="228"/>
      <c r="H537" s="228"/>
      <c r="I537" s="228"/>
      <c r="J537" s="228"/>
      <c r="K537" s="228"/>
      <c r="L537" s="228"/>
    </row>
    <row r="538" spans="2:12"/>
    <row r="539" spans="2:12" ht="15">
      <c r="B539" t="s">
        <v>677</v>
      </c>
      <c r="C539" s="228" t="s">
        <v>678</v>
      </c>
      <c r="D539" s="228"/>
      <c r="E539" s="228"/>
      <c r="F539" s="228"/>
      <c r="G539" s="228"/>
      <c r="H539" s="228"/>
      <c r="I539" s="228"/>
      <c r="J539" s="228"/>
      <c r="K539" s="228"/>
      <c r="L539" s="228"/>
    </row>
    <row r="540" spans="2:12" ht="15">
      <c r="B540"/>
      <c r="C540" s="228"/>
      <c r="D540" s="228"/>
      <c r="E540" s="228"/>
      <c r="F540" s="228"/>
      <c r="G540" s="228"/>
      <c r="H540" s="228"/>
      <c r="I540" s="228"/>
      <c r="J540" s="228"/>
      <c r="K540" s="228"/>
      <c r="L540" s="228"/>
    </row>
    <row r="541" spans="2:12"/>
    <row r="542" spans="2:12"/>
    <row r="543" spans="2:12" ht="15">
      <c r="B543"/>
      <c r="C543"/>
      <c r="D543"/>
      <c r="E543"/>
      <c r="F543"/>
      <c r="G543"/>
      <c r="H543"/>
    </row>
    <row r="544" spans="2:12" ht="15">
      <c r="B544"/>
      <c r="C544"/>
      <c r="D544"/>
      <c r="E544"/>
      <c r="F544"/>
      <c r="G544"/>
      <c r="H544"/>
    </row>
    <row r="545" spans="2:8" ht="15" hidden="1">
      <c r="B545"/>
      <c r="C545"/>
      <c r="D545"/>
      <c r="E545"/>
      <c r="F545"/>
      <c r="G545"/>
      <c r="H545"/>
    </row>
    <row r="546" spans="2:8" ht="15" hidden="1">
      <c r="B546"/>
      <c r="C546"/>
      <c r="D546"/>
      <c r="E546"/>
      <c r="F546"/>
      <c r="G546"/>
      <c r="H546"/>
    </row>
    <row r="547" spans="2:8" ht="13.15" hidden="1" customHeight="1">
      <c r="G547" s="254"/>
    </row>
    <row r="548" spans="2:8" ht="13.15" hidden="1" customHeight="1">
      <c r="G548" s="254"/>
    </row>
    <row r="549" spans="2:8" ht="13.15" hidden="1" customHeight="1">
      <c r="G549" s="254"/>
    </row>
    <row r="550" spans="2:8" ht="13.15" hidden="1" customHeight="1">
      <c r="G550" s="254"/>
    </row>
    <row r="551" spans="2:8" hidden="1">
      <c r="G551" s="254"/>
    </row>
    <row r="552" spans="2:8" hidden="1">
      <c r="G552" s="254"/>
    </row>
    <row r="553" spans="2:8" hidden="1">
      <c r="G553" s="254"/>
    </row>
    <row r="554" spans="2:8" hidden="1">
      <c r="G554" s="254"/>
    </row>
    <row r="555" spans="2:8" hidden="1">
      <c r="G555" s="254"/>
    </row>
    <row r="556" spans="2:8" hidden="1">
      <c r="G556" s="254"/>
    </row>
    <row r="557" spans="2:8" hidden="1">
      <c r="G557" s="254"/>
    </row>
    <row r="558" spans="2:8" hidden="1">
      <c r="G558" s="254"/>
    </row>
    <row r="559" spans="2:8" hidden="1">
      <c r="G559" s="254"/>
    </row>
    <row r="560" spans="2:8" hidden="1">
      <c r="G560" s="254"/>
    </row>
    <row r="561" spans="7:7" hidden="1">
      <c r="G561" s="254"/>
    </row>
    <row r="562" spans="7:7" hidden="1">
      <c r="G562" s="254"/>
    </row>
    <row r="563" spans="7:7" hidden="1">
      <c r="G563" s="254"/>
    </row>
    <row r="564" spans="7:7" hidden="1">
      <c r="G564" s="254"/>
    </row>
    <row r="565" spans="7:7" hidden="1">
      <c r="G565" s="254"/>
    </row>
    <row r="566" spans="7:7" hidden="1">
      <c r="G566" s="254"/>
    </row>
    <row r="567" spans="7:7" hidden="1">
      <c r="G567" s="254"/>
    </row>
    <row r="568" spans="7:7" hidden="1">
      <c r="G568" s="254"/>
    </row>
    <row r="569" spans="7:7" hidden="1">
      <c r="G569" s="254"/>
    </row>
    <row r="570" spans="7:7" hidden="1">
      <c r="G570" s="254"/>
    </row>
    <row r="571" spans="7:7" hidden="1">
      <c r="G571" s="254"/>
    </row>
    <row r="572" spans="7:7" hidden="1">
      <c r="G572" s="254"/>
    </row>
    <row r="573" spans="7:7" hidden="1">
      <c r="G573" s="254"/>
    </row>
    <row r="574" spans="7:7" hidden="1">
      <c r="G574" s="254"/>
    </row>
    <row r="575" spans="7:7" hidden="1">
      <c r="G575" s="254"/>
    </row>
    <row r="576" spans="7:7" hidden="1">
      <c r="G576" s="254"/>
    </row>
    <row r="577" spans="7:7" hidden="1">
      <c r="G577" s="254"/>
    </row>
    <row r="578" spans="7:7" hidden="1">
      <c r="G578" s="254"/>
    </row>
    <row r="579" spans="7:7" hidden="1">
      <c r="G579" s="254"/>
    </row>
    <row r="580" spans="7:7" hidden="1">
      <c r="G580" s="254"/>
    </row>
    <row r="581" spans="7:7" hidden="1">
      <c r="G581" s="254"/>
    </row>
    <row r="582" spans="7:7" hidden="1">
      <c r="G582" s="254"/>
    </row>
    <row r="583" spans="7:7" hidden="1">
      <c r="G583" s="254"/>
    </row>
    <row r="584" spans="7:7" hidden="1">
      <c r="G584" s="254"/>
    </row>
    <row r="585" spans="7:7" hidden="1">
      <c r="G585" s="254"/>
    </row>
    <row r="586" spans="7:7" hidden="1">
      <c r="G586" s="254"/>
    </row>
    <row r="587" spans="7:7" hidden="1">
      <c r="G587" s="254"/>
    </row>
    <row r="588" spans="7:7" hidden="1">
      <c r="G588" s="254"/>
    </row>
    <row r="589" spans="7:7" hidden="1">
      <c r="G589" s="254"/>
    </row>
    <row r="590" spans="7:7" hidden="1">
      <c r="G590" s="254"/>
    </row>
    <row r="591" spans="7:7" hidden="1">
      <c r="G591" s="254"/>
    </row>
    <row r="592" spans="7:7" hidden="1">
      <c r="G592" s="254"/>
    </row>
    <row r="593" spans="7:7" hidden="1">
      <c r="G593" s="254"/>
    </row>
    <row r="594" spans="7:7" hidden="1">
      <c r="G594" s="254"/>
    </row>
    <row r="595" spans="7:7" hidden="1">
      <c r="G595" s="254"/>
    </row>
    <row r="596" spans="7:7" hidden="1">
      <c r="G596" s="254"/>
    </row>
    <row r="597" spans="7:7" hidden="1">
      <c r="G597" s="254"/>
    </row>
    <row r="598" spans="7:7" hidden="1">
      <c r="G598" s="254"/>
    </row>
    <row r="599" spans="7:7" hidden="1">
      <c r="G599" s="254"/>
    </row>
    <row r="600" spans="7:7" hidden="1">
      <c r="G600" s="254"/>
    </row>
    <row r="601" spans="7:7" hidden="1">
      <c r="G601" s="254"/>
    </row>
    <row r="602" spans="7:7" hidden="1">
      <c r="G602" s="254"/>
    </row>
    <row r="603" spans="7:7" hidden="1">
      <c r="G603" s="254"/>
    </row>
    <row r="604" spans="7:7" hidden="1">
      <c r="G604" s="254"/>
    </row>
    <row r="605" spans="7:7" hidden="1">
      <c r="G605" s="254"/>
    </row>
    <row r="606" spans="7:7" hidden="1">
      <c r="G606" s="254"/>
    </row>
    <row r="607" spans="7:7" hidden="1">
      <c r="G607" s="254"/>
    </row>
    <row r="608" spans="7:7" hidden="1">
      <c r="G608" s="254"/>
    </row>
    <row r="609" spans="7:7" hidden="1">
      <c r="G609" s="254"/>
    </row>
    <row r="610" spans="7:7" hidden="1">
      <c r="G610" s="254"/>
    </row>
    <row r="611" spans="7:7" hidden="1">
      <c r="G611" s="254"/>
    </row>
    <row r="612" spans="7:7" hidden="1">
      <c r="G612" s="254"/>
    </row>
    <row r="613" spans="7:7" hidden="1">
      <c r="G613" s="254"/>
    </row>
    <row r="614" spans="7:7" hidden="1">
      <c r="G614" s="254"/>
    </row>
    <row r="615" spans="7:7" hidden="1">
      <c r="G615" s="254"/>
    </row>
    <row r="616" spans="7:7" hidden="1">
      <c r="G616" s="254"/>
    </row>
    <row r="617" spans="7:7" hidden="1">
      <c r="G617" s="254"/>
    </row>
    <row r="618" spans="7:7" hidden="1">
      <c r="G618" s="254"/>
    </row>
    <row r="619" spans="7:7" hidden="1">
      <c r="G619" s="254"/>
    </row>
    <row r="620" spans="7:7" hidden="1">
      <c r="G620" s="254"/>
    </row>
    <row r="621" spans="7:7" hidden="1">
      <c r="G621" s="254"/>
    </row>
    <row r="622" spans="7:7" hidden="1">
      <c r="G622" s="254"/>
    </row>
    <row r="623" spans="7:7" hidden="1">
      <c r="G623" s="254"/>
    </row>
    <row r="624" spans="7:7" hidden="1">
      <c r="G624" s="254"/>
    </row>
    <row r="625" spans="7:7" hidden="1">
      <c r="G625" s="254"/>
    </row>
    <row r="626" spans="7:7" hidden="1">
      <c r="G626" s="254"/>
    </row>
    <row r="627" spans="7:7" hidden="1">
      <c r="G627" s="254"/>
    </row>
    <row r="628" spans="7:7" hidden="1">
      <c r="G628" s="254"/>
    </row>
    <row r="629" spans="7:7" hidden="1">
      <c r="G629" s="254"/>
    </row>
    <row r="630" spans="7:7" hidden="1">
      <c r="G630" s="254"/>
    </row>
    <row r="631" spans="7:7" hidden="1">
      <c r="G631" s="254"/>
    </row>
    <row r="632" spans="7:7" hidden="1">
      <c r="G632" s="254"/>
    </row>
    <row r="633" spans="7:7" hidden="1">
      <c r="G633" s="254"/>
    </row>
    <row r="634" spans="7:7" hidden="1">
      <c r="G634" s="254"/>
    </row>
    <row r="635" spans="7:7" hidden="1">
      <c r="G635" s="254"/>
    </row>
    <row r="636" spans="7:7" hidden="1">
      <c r="G636" s="254"/>
    </row>
    <row r="637" spans="7:7" hidden="1">
      <c r="G637" s="254"/>
    </row>
    <row r="638" spans="7:7" hidden="1">
      <c r="G638" s="254"/>
    </row>
    <row r="639" spans="7:7" hidden="1">
      <c r="G639" s="254"/>
    </row>
    <row r="640" spans="7:7" hidden="1">
      <c r="G640" s="254"/>
    </row>
    <row r="641" spans="7:7" hidden="1">
      <c r="G641" s="254"/>
    </row>
    <row r="642" spans="7:7" hidden="1">
      <c r="G642" s="254"/>
    </row>
    <row r="643" spans="7:7" hidden="1">
      <c r="G643" s="254"/>
    </row>
    <row r="644" spans="7:7" hidden="1">
      <c r="G644" s="254"/>
    </row>
    <row r="645" spans="7:7" hidden="1">
      <c r="G645" s="254"/>
    </row>
    <row r="646" spans="7:7" hidden="1">
      <c r="G646" s="254"/>
    </row>
    <row r="647" spans="7:7" hidden="1">
      <c r="G647" s="254"/>
    </row>
    <row r="648" spans="7:7" hidden="1">
      <c r="G648" s="254"/>
    </row>
    <row r="649" spans="7:7" hidden="1">
      <c r="G649" s="254"/>
    </row>
    <row r="650" spans="7:7" hidden="1">
      <c r="G650" s="254"/>
    </row>
    <row r="651" spans="7:7" hidden="1">
      <c r="G651" s="254"/>
    </row>
    <row r="652" spans="7:7" hidden="1">
      <c r="G652" s="254"/>
    </row>
    <row r="653" spans="7:7" hidden="1">
      <c r="G653" s="254"/>
    </row>
    <row r="654" spans="7:7" hidden="1">
      <c r="G654" s="254"/>
    </row>
    <row r="655" spans="7:7" hidden="1">
      <c r="G655" s="254"/>
    </row>
    <row r="656" spans="7:7" hidden="1">
      <c r="G656" s="254"/>
    </row>
    <row r="657" spans="7:7" hidden="1">
      <c r="G657" s="254"/>
    </row>
    <row r="658" spans="7:7" hidden="1">
      <c r="G658" s="254"/>
    </row>
    <row r="659" spans="7:7" hidden="1">
      <c r="G659" s="254"/>
    </row>
    <row r="660" spans="7:7" hidden="1">
      <c r="G660" s="254"/>
    </row>
    <row r="661" spans="7:7" hidden="1">
      <c r="G661" s="254"/>
    </row>
    <row r="662" spans="7:7" hidden="1">
      <c r="G662" s="254"/>
    </row>
    <row r="663" spans="7:7" hidden="1">
      <c r="G663" s="254"/>
    </row>
    <row r="664" spans="7:7" hidden="1">
      <c r="G664" s="254"/>
    </row>
    <row r="665" spans="7:7" hidden="1">
      <c r="G665" s="254"/>
    </row>
    <row r="666" spans="7:7" hidden="1">
      <c r="G666" s="254"/>
    </row>
    <row r="667" spans="7:7" hidden="1">
      <c r="G667" s="254"/>
    </row>
    <row r="668" spans="7:7" hidden="1">
      <c r="G668" s="254"/>
    </row>
    <row r="669" spans="7:7" hidden="1">
      <c r="G669" s="254"/>
    </row>
    <row r="670" spans="7:7" hidden="1">
      <c r="G670" s="254"/>
    </row>
    <row r="671" spans="7:7" hidden="1">
      <c r="G671" s="254"/>
    </row>
    <row r="672" spans="7:7" hidden="1">
      <c r="G672" s="254"/>
    </row>
    <row r="673" spans="7:7" hidden="1">
      <c r="G673" s="254"/>
    </row>
    <row r="674" spans="7:7" hidden="1">
      <c r="G674" s="254"/>
    </row>
    <row r="675" spans="7:7" hidden="1">
      <c r="G675" s="254"/>
    </row>
    <row r="676" spans="7:7" hidden="1">
      <c r="G676" s="254"/>
    </row>
    <row r="677" spans="7:7" hidden="1">
      <c r="G677" s="254"/>
    </row>
    <row r="678" spans="7:7" hidden="1">
      <c r="G678" s="254"/>
    </row>
    <row r="679" spans="7:7" hidden="1">
      <c r="G679" s="254"/>
    </row>
    <row r="680" spans="7:7" hidden="1">
      <c r="G680" s="254"/>
    </row>
    <row r="681" spans="7:7" hidden="1">
      <c r="G681" s="254"/>
    </row>
    <row r="682" spans="7:7" hidden="1">
      <c r="G682" s="254"/>
    </row>
    <row r="683" spans="7:7" hidden="1">
      <c r="G683" s="254"/>
    </row>
    <row r="684" spans="7:7" hidden="1">
      <c r="G684" s="254"/>
    </row>
    <row r="685" spans="7:7" hidden="1">
      <c r="G685" s="254"/>
    </row>
    <row r="686" spans="7:7" hidden="1">
      <c r="G686" s="254"/>
    </row>
    <row r="687" spans="7:7" hidden="1">
      <c r="G687" s="254"/>
    </row>
    <row r="688" spans="7:7" hidden="1">
      <c r="G688" s="254"/>
    </row>
    <row r="689" spans="7:7" hidden="1">
      <c r="G689" s="254"/>
    </row>
    <row r="690" spans="7:7" hidden="1">
      <c r="G690" s="254"/>
    </row>
    <row r="691" spans="7:7" hidden="1">
      <c r="G691" s="254"/>
    </row>
    <row r="692" spans="7:7" hidden="1">
      <c r="G692" s="254"/>
    </row>
    <row r="693" spans="7:7" hidden="1">
      <c r="G693" s="254"/>
    </row>
    <row r="694" spans="7:7" hidden="1">
      <c r="G694" s="254"/>
    </row>
    <row r="695" spans="7:7" hidden="1">
      <c r="G695" s="254"/>
    </row>
    <row r="696" spans="7:7" hidden="1">
      <c r="G696" s="254"/>
    </row>
    <row r="697" spans="7:7" hidden="1">
      <c r="G697" s="254"/>
    </row>
    <row r="698" spans="7:7" hidden="1">
      <c r="G698" s="254"/>
    </row>
    <row r="699" spans="7:7" hidden="1">
      <c r="G699" s="254"/>
    </row>
    <row r="700" spans="7:7" hidden="1">
      <c r="G700" s="254"/>
    </row>
    <row r="701" spans="7:7" hidden="1">
      <c r="G701" s="254"/>
    </row>
    <row r="702" spans="7:7" hidden="1">
      <c r="G702" s="254"/>
    </row>
    <row r="703" spans="7:7" hidden="1">
      <c r="G703" s="254"/>
    </row>
    <row r="704" spans="7:7" hidden="1">
      <c r="G704" s="254"/>
    </row>
    <row r="705" spans="7:7" hidden="1">
      <c r="G705" s="254"/>
    </row>
    <row r="706" spans="7:7" hidden="1">
      <c r="G706" s="254"/>
    </row>
    <row r="707" spans="7:7" hidden="1">
      <c r="G707" s="254"/>
    </row>
    <row r="708" spans="7:7" hidden="1">
      <c r="G708" s="254"/>
    </row>
    <row r="709" spans="7:7" hidden="1">
      <c r="G709" s="254"/>
    </row>
    <row r="710" spans="7:7" hidden="1">
      <c r="G710" s="254"/>
    </row>
    <row r="711" spans="7:7" hidden="1">
      <c r="G711" s="254"/>
    </row>
    <row r="712" spans="7:7" hidden="1">
      <c r="G712" s="254"/>
    </row>
    <row r="713" spans="7:7" hidden="1">
      <c r="G713" s="254"/>
    </row>
    <row r="714" spans="7:7" hidden="1">
      <c r="G714" s="254"/>
    </row>
    <row r="715" spans="7:7" hidden="1">
      <c r="G715" s="254"/>
    </row>
    <row r="716" spans="7:7" hidden="1">
      <c r="G716" s="254"/>
    </row>
    <row r="717" spans="7:7" hidden="1">
      <c r="G717" s="254"/>
    </row>
    <row r="718" spans="7:7" hidden="1">
      <c r="G718" s="254"/>
    </row>
    <row r="719" spans="7:7" hidden="1">
      <c r="G719" s="254"/>
    </row>
    <row r="720" spans="7:7" hidden="1">
      <c r="G720" s="254"/>
    </row>
    <row r="721" spans="7:7" hidden="1">
      <c r="G721" s="254"/>
    </row>
    <row r="722" spans="7:7" hidden="1">
      <c r="G722" s="254"/>
    </row>
    <row r="723" spans="7:7" hidden="1">
      <c r="G723" s="254"/>
    </row>
    <row r="724" spans="7:7" hidden="1">
      <c r="G724" s="254"/>
    </row>
    <row r="725" spans="7:7" hidden="1">
      <c r="G725" s="254"/>
    </row>
    <row r="726" spans="7:7" hidden="1">
      <c r="G726" s="254"/>
    </row>
    <row r="727" spans="7:7" hidden="1">
      <c r="G727" s="254"/>
    </row>
    <row r="728" spans="7:7" hidden="1">
      <c r="G728" s="254"/>
    </row>
    <row r="729" spans="7:7" hidden="1">
      <c r="G729" s="254"/>
    </row>
    <row r="730" spans="7:7" hidden="1">
      <c r="G730" s="254"/>
    </row>
    <row r="731" spans="7:7" hidden="1">
      <c r="G731" s="254"/>
    </row>
    <row r="732" spans="7:7" hidden="1">
      <c r="G732" s="254"/>
    </row>
    <row r="733" spans="7:7" hidden="1">
      <c r="G733" s="254"/>
    </row>
    <row r="734" spans="7:7" hidden="1">
      <c r="G734" s="254"/>
    </row>
    <row r="735" spans="7:7" hidden="1">
      <c r="G735" s="254"/>
    </row>
    <row r="736" spans="7:7" hidden="1">
      <c r="G736" s="254"/>
    </row>
    <row r="737" spans="7:7" hidden="1">
      <c r="G737" s="254"/>
    </row>
    <row r="738" spans="7:7" hidden="1">
      <c r="G738" s="254"/>
    </row>
    <row r="739" spans="7:7" hidden="1">
      <c r="G739" s="254"/>
    </row>
    <row r="740" spans="7:7" hidden="1">
      <c r="G740" s="254"/>
    </row>
    <row r="741" spans="7:7" hidden="1">
      <c r="G741" s="254"/>
    </row>
    <row r="742" spans="7:7" hidden="1">
      <c r="G742" s="254"/>
    </row>
    <row r="743" spans="7:7" hidden="1">
      <c r="G743" s="254"/>
    </row>
    <row r="744" spans="7:7" hidden="1">
      <c r="G744" s="254"/>
    </row>
    <row r="745" spans="7:7" hidden="1">
      <c r="G745" s="254"/>
    </row>
    <row r="746" spans="7:7" hidden="1">
      <c r="G746" s="254"/>
    </row>
    <row r="747" spans="7:7" hidden="1">
      <c r="G747" s="254"/>
    </row>
    <row r="748" spans="7:7" hidden="1">
      <c r="G748" s="254"/>
    </row>
    <row r="749" spans="7:7" hidden="1">
      <c r="G749" s="254"/>
    </row>
    <row r="750" spans="7:7" hidden="1">
      <c r="G750" s="254"/>
    </row>
    <row r="751" spans="7:7" hidden="1">
      <c r="G751" s="254"/>
    </row>
    <row r="752" spans="7:7" hidden="1">
      <c r="G752" s="254"/>
    </row>
    <row r="753" spans="7:7" hidden="1">
      <c r="G753" s="254"/>
    </row>
    <row r="754" spans="7:7" hidden="1">
      <c r="G754" s="254"/>
    </row>
    <row r="755" spans="7:7" hidden="1">
      <c r="G755" s="254"/>
    </row>
    <row r="756" spans="7:7" hidden="1">
      <c r="G756" s="254"/>
    </row>
    <row r="757" spans="7:7" hidden="1">
      <c r="G757" s="254"/>
    </row>
    <row r="758" spans="7:7" hidden="1">
      <c r="G758" s="254"/>
    </row>
    <row r="759" spans="7:7" hidden="1">
      <c r="G759" s="254"/>
    </row>
    <row r="760" spans="7:7" hidden="1">
      <c r="G760" s="254"/>
    </row>
    <row r="761" spans="7:7" hidden="1">
      <c r="G761" s="254"/>
    </row>
    <row r="762" spans="7:7" hidden="1">
      <c r="G762" s="254"/>
    </row>
    <row r="763" spans="7:7" hidden="1">
      <c r="G763" s="254"/>
    </row>
    <row r="764" spans="7:7" hidden="1">
      <c r="G764" s="254"/>
    </row>
    <row r="765" spans="7:7" hidden="1">
      <c r="G765" s="254"/>
    </row>
    <row r="766" spans="7:7" hidden="1">
      <c r="G766" s="254"/>
    </row>
    <row r="767" spans="7:7" hidden="1">
      <c r="G767" s="254"/>
    </row>
    <row r="768" spans="7:7" hidden="1">
      <c r="G768" s="254"/>
    </row>
    <row r="769" spans="7:7" hidden="1">
      <c r="G769" s="254"/>
    </row>
    <row r="770" spans="7:7" hidden="1">
      <c r="G770" s="254"/>
    </row>
    <row r="771" spans="7:7" hidden="1">
      <c r="G771" s="254"/>
    </row>
    <row r="772" spans="7:7" hidden="1">
      <c r="G772" s="254"/>
    </row>
    <row r="773" spans="7:7" hidden="1">
      <c r="G773" s="254"/>
    </row>
    <row r="774" spans="7:7" hidden="1">
      <c r="G774" s="254"/>
    </row>
  </sheetData>
  <sheetProtection algorithmName="SHA-512" hashValue="zo5A6rhicl6pZcQgyIcbYh1pqVPZncIb5aKuJnn452cZJfw2lg0FBCkoWip4ruWHqrJmx4X3718PSeQO6GbxZg==" saltValue="KVVgGwdu3GlPMGZPzaLHFw==" spinCount="100000" sheet="1" objects="1" scenarios="1" formatColumns="0" formatRows="0" selectLockedCells="1"/>
  <mergeCells count="276">
    <mergeCell ref="H446:L446"/>
    <mergeCell ref="C453:D453"/>
    <mergeCell ref="I453:J453"/>
    <mergeCell ref="C455:D455"/>
    <mergeCell ref="B383:D383"/>
    <mergeCell ref="H383:J383"/>
    <mergeCell ref="B386:D386"/>
    <mergeCell ref="B389:L389"/>
    <mergeCell ref="C536:L537"/>
    <mergeCell ref="I494:J494"/>
    <mergeCell ref="C506:D506"/>
    <mergeCell ref="C508:D508"/>
    <mergeCell ref="B477:F477"/>
    <mergeCell ref="H477:L477"/>
    <mergeCell ref="B480:D480"/>
    <mergeCell ref="H480:J480"/>
    <mergeCell ref="B483:D483"/>
    <mergeCell ref="H483:J483"/>
    <mergeCell ref="B490:L490"/>
    <mergeCell ref="C510:D510"/>
    <mergeCell ref="C512:D512"/>
    <mergeCell ref="C514:D514"/>
    <mergeCell ref="C492:D492"/>
    <mergeCell ref="C494:D494"/>
    <mergeCell ref="C539:L540"/>
    <mergeCell ref="B391:L391"/>
    <mergeCell ref="B393:D393"/>
    <mergeCell ref="H393:J393"/>
    <mergeCell ref="B396:L396"/>
    <mergeCell ref="B398:D398"/>
    <mergeCell ref="H398:J398"/>
    <mergeCell ref="B516:L533"/>
    <mergeCell ref="H514:L514"/>
    <mergeCell ref="B403:L403"/>
    <mergeCell ref="C425:D425"/>
    <mergeCell ref="B427:F427"/>
    <mergeCell ref="C431:D431"/>
    <mergeCell ref="C461:D461"/>
    <mergeCell ref="B463:F463"/>
    <mergeCell ref="C467:D467"/>
    <mergeCell ref="B475:L475"/>
    <mergeCell ref="B440:L440"/>
    <mergeCell ref="B446:F446"/>
    <mergeCell ref="I455:J455"/>
    <mergeCell ref="B457:B458"/>
    <mergeCell ref="H457:H458"/>
    <mergeCell ref="K457:K458"/>
    <mergeCell ref="L457:L458"/>
    <mergeCell ref="B319:L319"/>
    <mergeCell ref="B321:D321"/>
    <mergeCell ref="B314:D314"/>
    <mergeCell ref="H288:L288"/>
    <mergeCell ref="H292:L292"/>
    <mergeCell ref="B292:F292"/>
    <mergeCell ref="I220:J220"/>
    <mergeCell ref="H222:L222"/>
    <mergeCell ref="I230:J230"/>
    <mergeCell ref="I235:J235"/>
    <mergeCell ref="H243:L243"/>
    <mergeCell ref="B247:F247"/>
    <mergeCell ref="H247:L247"/>
    <mergeCell ref="B250:F250"/>
    <mergeCell ref="H250:L250"/>
    <mergeCell ref="C220:D220"/>
    <mergeCell ref="B222:F222"/>
    <mergeCell ref="C235:D235"/>
    <mergeCell ref="C230:D230"/>
    <mergeCell ref="B267:F267"/>
    <mergeCell ref="C275:D275"/>
    <mergeCell ref="C280:D280"/>
    <mergeCell ref="B288:F288"/>
    <mergeCell ref="B317:L317"/>
    <mergeCell ref="H215:L215"/>
    <mergeCell ref="I219:J219"/>
    <mergeCell ref="C219:D219"/>
    <mergeCell ref="B243:F243"/>
    <mergeCell ref="H267:L267"/>
    <mergeCell ref="I275:J275"/>
    <mergeCell ref="I280:J280"/>
    <mergeCell ref="C264:D264"/>
    <mergeCell ref="C258:D258"/>
    <mergeCell ref="C265:D265"/>
    <mergeCell ref="H252:L252"/>
    <mergeCell ref="I254:J254"/>
    <mergeCell ref="I257:J257"/>
    <mergeCell ref="I258:J258"/>
    <mergeCell ref="H260:L260"/>
    <mergeCell ref="I264:J264"/>
    <mergeCell ref="I265:J265"/>
    <mergeCell ref="C254:D254"/>
    <mergeCell ref="B215:F215"/>
    <mergeCell ref="H172:L172"/>
    <mergeCell ref="I174:J174"/>
    <mergeCell ref="C146:D146"/>
    <mergeCell ref="B148:L148"/>
    <mergeCell ref="I143:J143"/>
    <mergeCell ref="I146:J146"/>
    <mergeCell ref="I145:J145"/>
    <mergeCell ref="H145:H146"/>
    <mergeCell ref="B155:L155"/>
    <mergeCell ref="C157:D157"/>
    <mergeCell ref="C158:D158"/>
    <mergeCell ref="H163:L163"/>
    <mergeCell ref="B163:F163"/>
    <mergeCell ref="B170:F170"/>
    <mergeCell ref="H170:L170"/>
    <mergeCell ref="B165:L165"/>
    <mergeCell ref="C152:D152"/>
    <mergeCell ref="C151:D151"/>
    <mergeCell ref="C150:D150"/>
    <mergeCell ref="I152:J152"/>
    <mergeCell ref="I151:J151"/>
    <mergeCell ref="I150:J150"/>
    <mergeCell ref="B172:F172"/>
    <mergeCell ref="C174:D174"/>
    <mergeCell ref="H127:L127"/>
    <mergeCell ref="B127:F127"/>
    <mergeCell ref="I141:J141"/>
    <mergeCell ref="I142:J142"/>
    <mergeCell ref="C141:D141"/>
    <mergeCell ref="C142:D142"/>
    <mergeCell ref="C143:D143"/>
    <mergeCell ref="B145:B146"/>
    <mergeCell ref="C145:D145"/>
    <mergeCell ref="H139:L139"/>
    <mergeCell ref="B139:F139"/>
    <mergeCell ref="I131:J131"/>
    <mergeCell ref="I135:J135"/>
    <mergeCell ref="I137:J137"/>
    <mergeCell ref="C131:D131"/>
    <mergeCell ref="C135:D135"/>
    <mergeCell ref="C137:D137"/>
    <mergeCell ref="I52:L52"/>
    <mergeCell ref="C50:D50"/>
    <mergeCell ref="B121:L121"/>
    <mergeCell ref="B114:F114"/>
    <mergeCell ref="H114:L114"/>
    <mergeCell ref="C116:D116"/>
    <mergeCell ref="I116:J116"/>
    <mergeCell ref="C117:D117"/>
    <mergeCell ref="I118:J118"/>
    <mergeCell ref="H125:L125"/>
    <mergeCell ref="B125:F125"/>
    <mergeCell ref="B129:F129"/>
    <mergeCell ref="H129:L129"/>
    <mergeCell ref="K11:L11"/>
    <mergeCell ref="J13:L13"/>
    <mergeCell ref="D17:K17"/>
    <mergeCell ref="D15:L15"/>
    <mergeCell ref="D24:G24"/>
    <mergeCell ref="I117:J117"/>
    <mergeCell ref="C119:D119"/>
    <mergeCell ref="C46:D46"/>
    <mergeCell ref="I45:J45"/>
    <mergeCell ref="I46:J46"/>
    <mergeCell ref="B48:L48"/>
    <mergeCell ref="B71:D71"/>
    <mergeCell ref="B93:D93"/>
    <mergeCell ref="B112:L112"/>
    <mergeCell ref="B87:L87"/>
    <mergeCell ref="C89:E89"/>
    <mergeCell ref="D28:G28"/>
    <mergeCell ref="I28:L28"/>
    <mergeCell ref="I24:L24"/>
    <mergeCell ref="I50:L50"/>
    <mergeCell ref="C212:D212"/>
    <mergeCell ref="C213:D213"/>
    <mergeCell ref="C7:H12"/>
    <mergeCell ref="C67:E67"/>
    <mergeCell ref="B65:L65"/>
    <mergeCell ref="C58:D58"/>
    <mergeCell ref="B35:L35"/>
    <mergeCell ref="H39:L39"/>
    <mergeCell ref="B39:F39"/>
    <mergeCell ref="C37:J37"/>
    <mergeCell ref="C45:D45"/>
    <mergeCell ref="C41:F41"/>
    <mergeCell ref="I41:L41"/>
    <mergeCell ref="C51:D51"/>
    <mergeCell ref="C52:D52"/>
    <mergeCell ref="B54:L54"/>
    <mergeCell ref="B62:L62"/>
    <mergeCell ref="B56:L56"/>
    <mergeCell ref="C59:D59"/>
    <mergeCell ref="C60:D60"/>
    <mergeCell ref="D19:I19"/>
    <mergeCell ref="I175:J175"/>
    <mergeCell ref="B123:L123"/>
    <mergeCell ref="H177:L177"/>
    <mergeCell ref="I179:J179"/>
    <mergeCell ref="I180:J180"/>
    <mergeCell ref="H182:L182"/>
    <mergeCell ref="C175:D175"/>
    <mergeCell ref="C179:D179"/>
    <mergeCell ref="C180:D180"/>
    <mergeCell ref="B207:F207"/>
    <mergeCell ref="C196:D196"/>
    <mergeCell ref="B182:F182"/>
    <mergeCell ref="I190:J190"/>
    <mergeCell ref="H192:L192"/>
    <mergeCell ref="I196:J196"/>
    <mergeCell ref="B205:F205"/>
    <mergeCell ref="H205:L205"/>
    <mergeCell ref="H207:L207"/>
    <mergeCell ref="B177:F177"/>
    <mergeCell ref="I209:J209"/>
    <mergeCell ref="C209:D209"/>
    <mergeCell ref="C190:D190"/>
    <mergeCell ref="B192:F192"/>
    <mergeCell ref="B252:F252"/>
    <mergeCell ref="B324:L324"/>
    <mergeCell ref="B326:D326"/>
    <mergeCell ref="H321:J321"/>
    <mergeCell ref="H326:J326"/>
    <mergeCell ref="H297:L297"/>
    <mergeCell ref="C257:D257"/>
    <mergeCell ref="B311:D311"/>
    <mergeCell ref="H299:J299"/>
    <mergeCell ref="H302:J302"/>
    <mergeCell ref="H308:J308"/>
    <mergeCell ref="B299:D299"/>
    <mergeCell ref="B302:D302"/>
    <mergeCell ref="B308:D308"/>
    <mergeCell ref="B260:F260"/>
    <mergeCell ref="B295:L295"/>
    <mergeCell ref="B297:F297"/>
    <mergeCell ref="H311:J311"/>
    <mergeCell ref="I212:J212"/>
    <mergeCell ref="I213:J213"/>
    <mergeCell ref="B374:D374"/>
    <mergeCell ref="H374:J374"/>
    <mergeCell ref="B380:D380"/>
    <mergeCell ref="H380:J380"/>
    <mergeCell ref="B331:L331"/>
    <mergeCell ref="B333:F333"/>
    <mergeCell ref="H333:L333"/>
    <mergeCell ref="B335:D335"/>
    <mergeCell ref="H335:J335"/>
    <mergeCell ref="B357:D357"/>
    <mergeCell ref="H357:J357"/>
    <mergeCell ref="B360:L360"/>
    <mergeCell ref="B362:D362"/>
    <mergeCell ref="H362:J362"/>
    <mergeCell ref="B338:D338"/>
    <mergeCell ref="H338:J338"/>
    <mergeCell ref="B344:D344"/>
    <mergeCell ref="H344:J344"/>
    <mergeCell ref="B347:D347"/>
    <mergeCell ref="H347:J347"/>
    <mergeCell ref="B350:D350"/>
    <mergeCell ref="B353:L353"/>
    <mergeCell ref="B355:L355"/>
    <mergeCell ref="C496:D496"/>
    <mergeCell ref="C498:D498"/>
    <mergeCell ref="C500:D500"/>
    <mergeCell ref="C504:D504"/>
    <mergeCell ref="B367:L367"/>
    <mergeCell ref="B369:F369"/>
    <mergeCell ref="H369:L369"/>
    <mergeCell ref="B371:D371"/>
    <mergeCell ref="C419:D419"/>
    <mergeCell ref="I419:J419"/>
    <mergeCell ref="B421:B422"/>
    <mergeCell ref="H421:H422"/>
    <mergeCell ref="K421:K422"/>
    <mergeCell ref="L421:L422"/>
    <mergeCell ref="B405:D405"/>
    <mergeCell ref="B407:D407"/>
    <mergeCell ref="B409:D409"/>
    <mergeCell ref="B411:L411"/>
    <mergeCell ref="B413:L413"/>
    <mergeCell ref="B415:F415"/>
    <mergeCell ref="H415:L415"/>
    <mergeCell ref="C417:D417"/>
    <mergeCell ref="I417:J417"/>
    <mergeCell ref="H371:J371"/>
  </mergeCells>
  <phoneticPr fontId="48" type="noConversion"/>
  <conditionalFormatting sqref="E309">
    <cfRule type="cellIs" dxfId="118" priority="93" operator="greaterThan">
      <formula>1</formula>
    </cfRule>
    <cfRule type="cellIs" dxfId="117" priority="94" operator="lessThan">
      <formula>1</formula>
    </cfRule>
  </conditionalFormatting>
  <conditionalFormatting sqref="E312">
    <cfRule type="cellIs" dxfId="116" priority="87" operator="greaterThan">
      <formula>$I$77</formula>
    </cfRule>
    <cfRule type="cellIs" dxfId="115" priority="88" operator="lessThan">
      <formula>$I$77</formula>
    </cfRule>
  </conditionalFormatting>
  <conditionalFormatting sqref="E315">
    <cfRule type="cellIs" dxfId="114" priority="85" operator="greaterThan">
      <formula>$I$78</formula>
    </cfRule>
    <cfRule type="cellIs" dxfId="113" priority="86" operator="lessThan">
      <formula>$I$78</formula>
    </cfRule>
  </conditionalFormatting>
  <conditionalFormatting sqref="K309">
    <cfRule type="cellIs" dxfId="112" priority="79" operator="greaterThan">
      <formula>1</formula>
    </cfRule>
    <cfRule type="cellIs" dxfId="111" priority="80" operator="lessThan">
      <formula>1</formula>
    </cfRule>
  </conditionalFormatting>
  <conditionalFormatting sqref="K312">
    <cfRule type="cellIs" dxfId="110" priority="77" operator="greaterThan">
      <formula>$I$99</formula>
    </cfRule>
    <cfRule type="cellIs" dxfId="109" priority="78" operator="lessThan">
      <formula>$I$99</formula>
    </cfRule>
  </conditionalFormatting>
  <conditionalFormatting sqref="E322">
    <cfRule type="cellIs" dxfId="108" priority="75" operator="greaterThan">
      <formula>$K$322</formula>
    </cfRule>
    <cfRule type="cellIs" dxfId="107" priority="76" operator="lessThan">
      <formula>$K$322</formula>
    </cfRule>
  </conditionalFormatting>
  <conditionalFormatting sqref="E327">
    <cfRule type="cellIs" dxfId="106" priority="73" operator="greaterThan">
      <formula>$K$327</formula>
    </cfRule>
    <cfRule type="cellIs" dxfId="105" priority="74" operator="lessThan">
      <formula>$K$327</formula>
    </cfRule>
  </conditionalFormatting>
  <conditionalFormatting sqref="E358">
    <cfRule type="cellIs" dxfId="104" priority="61" operator="greaterThan">
      <formula>$K$358</formula>
    </cfRule>
    <cfRule type="cellIs" dxfId="103" priority="62" operator="lessThan">
      <formula>$K$358</formula>
    </cfRule>
  </conditionalFormatting>
  <conditionalFormatting sqref="E363">
    <cfRule type="cellIs" dxfId="102" priority="59" operator="greaterThan">
      <formula>$K$363</formula>
    </cfRule>
    <cfRule type="cellIs" dxfId="101" priority="60" operator="lessThan">
      <formula>$K$363</formula>
    </cfRule>
  </conditionalFormatting>
  <conditionalFormatting sqref="E345">
    <cfRule type="cellIs" dxfId="100" priority="57" operator="greaterThan">
      <formula>1</formula>
    </cfRule>
    <cfRule type="cellIs" dxfId="99" priority="58" operator="lessThan">
      <formula>1</formula>
    </cfRule>
  </conditionalFormatting>
  <conditionalFormatting sqref="E348">
    <cfRule type="cellIs" dxfId="98" priority="53" operator="greaterThan">
      <formula>$J$77</formula>
    </cfRule>
    <cfRule type="cellIs" dxfId="97" priority="54" operator="lessThan">
      <formula>$J$77</formula>
    </cfRule>
  </conditionalFormatting>
  <conditionalFormatting sqref="E351">
    <cfRule type="cellIs" dxfId="96" priority="51" operator="greaterThan">
      <formula>$J$78</formula>
    </cfRule>
    <cfRule type="cellIs" dxfId="95" priority="52" operator="lessThan">
      <formula>$J$78</formula>
    </cfRule>
  </conditionalFormatting>
  <conditionalFormatting sqref="E384">
    <cfRule type="cellIs" dxfId="94" priority="47" operator="greaterThan">
      <formula>$I$77</formula>
    </cfRule>
    <cfRule type="cellIs" dxfId="93" priority="48" operator="lessThan">
      <formula>$I$77</formula>
    </cfRule>
  </conditionalFormatting>
  <conditionalFormatting sqref="E387">
    <cfRule type="cellIs" dxfId="92" priority="45" operator="greaterThan">
      <formula>$I$78</formula>
    </cfRule>
    <cfRule type="cellIs" dxfId="91" priority="46" operator="lessThan">
      <formula>$I$78</formula>
    </cfRule>
  </conditionalFormatting>
  <conditionalFormatting sqref="K345">
    <cfRule type="cellIs" dxfId="90" priority="35" operator="greaterThan">
      <formula>1</formula>
    </cfRule>
    <cfRule type="cellIs" dxfId="89" priority="36" operator="lessThan">
      <formula>1</formula>
    </cfRule>
  </conditionalFormatting>
  <conditionalFormatting sqref="E381">
    <cfRule type="cellIs" dxfId="88" priority="33" operator="greaterThan">
      <formula>1</formula>
    </cfRule>
    <cfRule type="cellIs" dxfId="87" priority="34" operator="lessThan">
      <formula>1</formula>
    </cfRule>
  </conditionalFormatting>
  <conditionalFormatting sqref="K381">
    <cfRule type="cellIs" dxfId="86" priority="31" operator="greaterThan">
      <formula>1</formula>
    </cfRule>
    <cfRule type="cellIs" dxfId="85" priority="32" operator="lessThan">
      <formula>1</formula>
    </cfRule>
  </conditionalFormatting>
  <conditionalFormatting sqref="K348">
    <cfRule type="cellIs" dxfId="84" priority="27" operator="greaterThan">
      <formula>$J$99</formula>
    </cfRule>
    <cfRule type="cellIs" dxfId="83" priority="28" operator="lessThan">
      <formula>$J$99</formula>
    </cfRule>
  </conditionalFormatting>
  <conditionalFormatting sqref="K384">
    <cfRule type="cellIs" dxfId="82" priority="25" operator="greaterThan">
      <formula>$I$99</formula>
    </cfRule>
    <cfRule type="cellIs" dxfId="81" priority="26" operator="lessThan">
      <formula>$I$99</formula>
    </cfRule>
  </conditionalFormatting>
  <conditionalFormatting sqref="E394">
    <cfRule type="cellIs" dxfId="80" priority="23" operator="greaterThan">
      <formula>$K$394</formula>
    </cfRule>
    <cfRule type="cellIs" dxfId="79" priority="24" operator="lessThan">
      <formula>$K$394</formula>
    </cfRule>
  </conditionalFormatting>
  <conditionalFormatting sqref="E399">
    <cfRule type="cellIs" dxfId="78" priority="21" operator="greaterThan">
      <formula>$K$399</formula>
    </cfRule>
    <cfRule type="cellIs" dxfId="77" priority="22" operator="lessThan">
      <formula>$K$399</formula>
    </cfRule>
  </conditionalFormatting>
  <conditionalFormatting sqref="E485">
    <cfRule type="cellIs" dxfId="76" priority="5" operator="greaterThan">
      <formula>$E$487</formula>
    </cfRule>
    <cfRule type="cellIs" dxfId="75" priority="6" operator="lessThan">
      <formula>$E$487</formula>
    </cfRule>
  </conditionalFormatting>
  <conditionalFormatting sqref="K485">
    <cfRule type="cellIs" dxfId="74" priority="3" operator="greaterThan">
      <formula>$K$487</formula>
    </cfRule>
    <cfRule type="cellIs" dxfId="73" priority="4" operator="lessThan">
      <formula>$K$487</formula>
    </cfRule>
  </conditionalFormatting>
  <conditionalFormatting sqref="E502">
    <cfRule type="cellIs" dxfId="72" priority="1" operator="greaterThan">
      <formula>$E$504</formula>
    </cfRule>
    <cfRule type="cellIs" dxfId="71" priority="2" operator="lessThan">
      <formula>$E$504</formula>
    </cfRule>
  </conditionalFormatting>
  <printOptions verticalCentered="1"/>
  <pageMargins left="0" right="0" top="0" bottom="0" header="0" footer="0"/>
  <pageSetup paperSize="9" scale="96" fitToHeight="0" orientation="portrait" r:id="rId1"/>
  <headerFooter differentFirst="1" scaleWithDoc="0" alignWithMargins="0">
    <oddHeader>&amp;L&amp;G</oddHeader>
    <oddFooter>&amp;L&amp;8 Ogni applicazione e calcolo devono essere esaminate e approvate da professionisti qualificati. La responsabilità della scelta del prodotto per la specifica applicazione, così come della sua eventuale posa in opera, resta in capo al Cliente.&amp;R&amp;P</oddFooter>
  </headerFooter>
  <rowBreaks count="12" manualBreakCount="12">
    <brk id="33" max="16383" man="1"/>
    <brk id="63" max="16383" man="1"/>
    <brk id="110" max="16383" man="1"/>
    <brk id="153" max="16383" man="1"/>
    <brk id="203" max="16383" man="1"/>
    <brk id="248" max="16383" man="1"/>
    <brk id="293" max="16383" man="1"/>
    <brk id="329" max="16383" man="1"/>
    <brk id="365" max="16383" man="1"/>
    <brk id="401" max="16383" man="1"/>
    <brk id="438" max="16383" man="1"/>
    <brk id="488" max="16383" man="1"/>
  </rowBreaks>
  <colBreaks count="4" manualBreakCount="4">
    <brk id="1" max="1048575" man="1"/>
    <brk id="2" max="1048575" man="1"/>
    <brk id="3" max="1048575" man="1"/>
    <brk id="6" max="1048575" man="1"/>
  </colBreaks>
  <drawing r:id="rId2"/>
  <legacy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F71FD-D139-40CE-B624-4FCC024C1045}">
  <sheetPr codeName="shEJeff"/>
  <dimension ref="A1:AJ43"/>
  <sheetViews>
    <sheetView workbookViewId="0">
      <selection activeCell="H24" sqref="H24"/>
    </sheetView>
  </sheetViews>
  <sheetFormatPr defaultColWidth="11.5703125" defaultRowHeight="15"/>
  <cols>
    <col min="1" max="1" width="4.28515625" style="13" customWidth="1"/>
    <col min="2" max="2" width="11.5703125" style="13"/>
    <col min="3" max="4" width="16.85546875" style="13" customWidth="1"/>
    <col min="5" max="7" width="11.5703125" style="13"/>
    <col min="8" max="8" width="12.28515625" style="13" customWidth="1"/>
    <col min="9" max="9" width="31" style="13" customWidth="1"/>
    <col min="10" max="10" width="9.140625" style="13" customWidth="1"/>
    <col min="11" max="11" width="18.5703125" style="13" customWidth="1"/>
    <col min="12" max="12" width="13.140625" style="13" customWidth="1"/>
    <col min="13" max="13" width="17.28515625" style="46" hidden="1" customWidth="1"/>
    <col min="14" max="16" width="0" style="46" hidden="1" customWidth="1"/>
    <col min="17" max="17" width="3.85546875" style="13" hidden="1" customWidth="1"/>
    <col min="18" max="18" width="12.42578125" style="13" hidden="1" customWidth="1"/>
    <col min="19" max="19" width="7.28515625" style="13" hidden="1" customWidth="1"/>
    <col min="20" max="20" width="3.85546875" style="13" hidden="1" customWidth="1"/>
    <col min="21" max="21" width="12.42578125" style="13" hidden="1" customWidth="1"/>
    <col min="22" max="22" width="6.7109375" style="46" hidden="1" customWidth="1"/>
    <col min="23" max="23" width="6.7109375" style="13" hidden="1" customWidth="1"/>
    <col min="24" max="24" width="10.7109375" style="13" hidden="1" customWidth="1"/>
    <col min="25" max="26" width="11.5703125" style="13"/>
    <col min="27" max="27" width="4.7109375" style="13" customWidth="1"/>
    <col min="28" max="28" width="9.28515625" style="13" customWidth="1"/>
    <col min="29" max="30" width="12" style="13" customWidth="1"/>
    <col min="31" max="31" width="11.5703125" style="13"/>
    <col min="32" max="32" width="2.85546875" style="13" customWidth="1"/>
    <col min="33" max="16384" width="11.5703125" style="13"/>
  </cols>
  <sheetData>
    <row r="1" spans="1:36" ht="18.75">
      <c r="B1" s="44" t="s">
        <v>679</v>
      </c>
      <c r="C1" s="45"/>
      <c r="D1" s="45"/>
      <c r="E1" s="45"/>
      <c r="F1" s="45"/>
      <c r="G1" s="45"/>
      <c r="H1" s="45"/>
    </row>
    <row r="2" spans="1:36" ht="18.75">
      <c r="B2" s="13" t="s">
        <v>680</v>
      </c>
      <c r="E2" s="47" t="s">
        <v>681</v>
      </c>
      <c r="F2" s="47" t="s">
        <v>682</v>
      </c>
      <c r="G2" s="47" t="s">
        <v>683</v>
      </c>
      <c r="H2" s="47" t="s">
        <v>684</v>
      </c>
      <c r="I2" s="48"/>
      <c r="J2" s="48"/>
      <c r="K2" s="13" t="s">
        <v>685</v>
      </c>
      <c r="L2" s="49">
        <f>(Input!$E$30-Input!$K$30)*(0.5-0.35*((Input!$E$30-Input!$K$30)/Input!$E$33)^0.9*($E$3*MAX($Y$21:$Z$21)/($G$3*SUM($Y$21:$Z$21)))^0.45)</f>
        <v>175.20658329708129</v>
      </c>
      <c r="AG2" s="13" t="s">
        <v>685</v>
      </c>
      <c r="AH2" s="49">
        <f>MAX(C10:C20)</f>
        <v>30</v>
      </c>
      <c r="AI2" s="50" t="s">
        <v>686</v>
      </c>
    </row>
    <row r="3" spans="1:36" ht="18.75">
      <c r="B3" s="13">
        <f>Input!$E$30</f>
        <v>600</v>
      </c>
      <c r="E3" s="51">
        <f>INDEX(TimberType[],MATCH(Input!$C$22,TimberType[Classe],0),MATCH(E2,TimberType[#Headers],0))</f>
        <v>11000</v>
      </c>
      <c r="F3" s="51">
        <f>INDEX(TimberType[],MATCH(Input!$C$22,TimberType[Classe],0),MATCH(F2,TimberType[#Headers],0))</f>
        <v>370</v>
      </c>
      <c r="G3" s="51">
        <f>INDEX(TimberType[],MATCH(Input!$C$22,TimberType[Classe],0),MATCH(G2,TimberType[#Headers],0))</f>
        <v>690</v>
      </c>
      <c r="H3" s="51">
        <v>69</v>
      </c>
      <c r="I3" s="47" t="str">
        <f>Input!$C$28</f>
        <v xml:space="preserve">80mm-3s-   30 20 30   </v>
      </c>
      <c r="J3" s="48"/>
      <c r="K3" s="52" t="s">
        <v>687</v>
      </c>
      <c r="L3" s="49">
        <f>L2*2+Input!$K$30</f>
        <v>510.41316659416259</v>
      </c>
      <c r="M3" s="53" t="s">
        <v>688</v>
      </c>
      <c r="N3" s="54" t="str">
        <f>Input!C28</f>
        <v xml:space="preserve">80mm-3s-   30 20 30   </v>
      </c>
      <c r="Y3" s="13" t="s">
        <v>689</v>
      </c>
      <c r="AG3" s="52" t="s">
        <v>687</v>
      </c>
      <c r="AH3" s="49">
        <f>AH2*2+Input!$K$30</f>
        <v>220</v>
      </c>
      <c r="AI3" s="50" t="s">
        <v>686</v>
      </c>
    </row>
    <row r="4" spans="1:36" ht="7.5" customHeight="1">
      <c r="K4" s="55"/>
      <c r="L4" s="55"/>
      <c r="M4" s="55"/>
      <c r="N4" s="55"/>
      <c r="O4" s="55"/>
      <c r="P4" s="55"/>
      <c r="Q4" s="55"/>
      <c r="R4" s="55"/>
      <c r="S4" s="55"/>
      <c r="T4" s="55"/>
      <c r="U4" s="55"/>
      <c r="V4" s="55"/>
    </row>
    <row r="5" spans="1:36" ht="15.75" thickBot="1">
      <c r="B5" s="20"/>
      <c r="C5" s="20">
        <f>MATCH($I$3,CLT[Code],0)</f>
        <v>3</v>
      </c>
      <c r="D5" s="20"/>
      <c r="E5" s="20"/>
      <c r="F5" s="20">
        <f>MATCH(B10,CLT[#Headers],0)</f>
        <v>5</v>
      </c>
      <c r="G5" s="20"/>
      <c r="H5" s="20"/>
      <c r="I5" s="20"/>
      <c r="J5" s="20"/>
      <c r="K5" s="20"/>
      <c r="L5" s="20"/>
      <c r="M5" s="20"/>
      <c r="N5" s="20"/>
      <c r="O5" s="20"/>
      <c r="P5" s="20"/>
      <c r="Q5" s="20"/>
      <c r="R5" s="20"/>
      <c r="S5" s="20"/>
      <c r="T5" s="20"/>
      <c r="U5" s="20"/>
      <c r="V5" s="20"/>
      <c r="W5" s="20"/>
      <c r="X5" s="20"/>
      <c r="Y5" s="20"/>
      <c r="Z5" s="20"/>
      <c r="AA5" s="20"/>
      <c r="AB5" s="234" t="s">
        <v>327</v>
      </c>
      <c r="AC5" s="234"/>
      <c r="AD5" s="234"/>
      <c r="AE5" s="234"/>
      <c r="AG5" s="234" t="s">
        <v>456</v>
      </c>
      <c r="AH5" s="234"/>
      <c r="AI5" s="234"/>
      <c r="AJ5" s="234"/>
    </row>
    <row r="6" spans="1:36">
      <c r="B6" s="52" t="s">
        <v>690</v>
      </c>
    </row>
    <row r="7" spans="1:36" ht="17.25">
      <c r="B7" s="243" t="s">
        <v>691</v>
      </c>
      <c r="C7" s="243"/>
      <c r="D7" s="243"/>
      <c r="E7" s="243"/>
      <c r="F7" s="243"/>
      <c r="G7" s="243"/>
      <c r="H7" s="243"/>
      <c r="I7" s="243"/>
      <c r="J7" s="244"/>
      <c r="K7" s="235" t="s">
        <v>692</v>
      </c>
      <c r="L7" s="236"/>
      <c r="M7" s="235" t="s">
        <v>693</v>
      </c>
      <c r="N7" s="236"/>
      <c r="O7" s="57" t="s">
        <v>694</v>
      </c>
      <c r="P7" s="239" t="s">
        <v>695</v>
      </c>
      <c r="Q7" s="239"/>
      <c r="R7" s="236"/>
      <c r="S7" s="239" t="s">
        <v>695</v>
      </c>
      <c r="T7" s="239"/>
      <c r="U7" s="236"/>
      <c r="V7" s="239" t="s">
        <v>696</v>
      </c>
      <c r="W7" s="236"/>
      <c r="X7" s="57" t="s">
        <v>697</v>
      </c>
      <c r="Y7" s="235" t="s">
        <v>698</v>
      </c>
      <c r="Z7" s="236"/>
      <c r="AB7" s="235" t="s">
        <v>699</v>
      </c>
      <c r="AC7" s="236"/>
      <c r="AD7" s="235" t="s">
        <v>700</v>
      </c>
      <c r="AE7" s="236"/>
      <c r="AG7" s="235" t="s">
        <v>699</v>
      </c>
      <c r="AH7" s="236"/>
      <c r="AI7" s="235" t="s">
        <v>700</v>
      </c>
      <c r="AJ7" s="236"/>
    </row>
    <row r="8" spans="1:36" s="52" customFormat="1" ht="18">
      <c r="B8" s="240" t="s">
        <v>701</v>
      </c>
      <c r="C8" s="59" t="s">
        <v>702</v>
      </c>
      <c r="D8" s="59" t="s">
        <v>703</v>
      </c>
      <c r="E8" s="60" t="s">
        <v>704</v>
      </c>
      <c r="F8" s="60" t="s">
        <v>705</v>
      </c>
      <c r="G8" s="59" t="s">
        <v>706</v>
      </c>
      <c r="H8" s="59" t="s">
        <v>707</v>
      </c>
      <c r="I8" s="59" t="s">
        <v>708</v>
      </c>
      <c r="J8" s="56" t="s">
        <v>709</v>
      </c>
      <c r="K8" s="237" t="s">
        <v>710</v>
      </c>
      <c r="L8" s="238"/>
      <c r="M8" s="237" t="s">
        <v>711</v>
      </c>
      <c r="N8" s="238"/>
      <c r="O8" s="62" t="s">
        <v>712</v>
      </c>
      <c r="P8" s="237" t="s">
        <v>712</v>
      </c>
      <c r="Q8" s="242"/>
      <c r="R8" s="238"/>
      <c r="S8" s="242" t="s">
        <v>712</v>
      </c>
      <c r="T8" s="242"/>
      <c r="U8" s="238"/>
      <c r="V8" s="237" t="s">
        <v>713</v>
      </c>
      <c r="W8" s="238"/>
      <c r="X8" s="62" t="s">
        <v>713</v>
      </c>
      <c r="Y8" s="237" t="s">
        <v>714</v>
      </c>
      <c r="Z8" s="238"/>
      <c r="AB8" s="232" t="s">
        <v>715</v>
      </c>
      <c r="AC8" s="233"/>
      <c r="AD8" s="232" t="s">
        <v>716</v>
      </c>
      <c r="AE8" s="233"/>
      <c r="AG8" s="232" t="s">
        <v>715</v>
      </c>
      <c r="AH8" s="233"/>
      <c r="AI8" s="232" t="s">
        <v>716</v>
      </c>
      <c r="AJ8" s="233"/>
    </row>
    <row r="9" spans="1:36" s="52" customFormat="1" ht="18">
      <c r="B9" s="241"/>
      <c r="C9" s="62" t="s">
        <v>686</v>
      </c>
      <c r="D9" s="62" t="s">
        <v>686</v>
      </c>
      <c r="E9" s="62" t="s">
        <v>717</v>
      </c>
      <c r="F9" s="62" t="s">
        <v>717</v>
      </c>
      <c r="G9" s="62" t="s">
        <v>717</v>
      </c>
      <c r="H9" s="62" t="s">
        <v>717</v>
      </c>
      <c r="I9" s="62" t="s">
        <v>717</v>
      </c>
      <c r="J9" s="61" t="s">
        <v>686</v>
      </c>
      <c r="K9" s="58" t="s">
        <v>718</v>
      </c>
      <c r="L9" s="63" t="s">
        <v>719</v>
      </c>
      <c r="M9" s="58" t="s">
        <v>720</v>
      </c>
      <c r="N9" s="63" t="s">
        <v>721</v>
      </c>
      <c r="O9" s="63" t="s">
        <v>722</v>
      </c>
      <c r="P9" s="65" t="s">
        <v>723</v>
      </c>
      <c r="Q9" s="64" t="s">
        <v>724</v>
      </c>
      <c r="R9" s="58" t="s">
        <v>725</v>
      </c>
      <c r="S9" s="58" t="s">
        <v>726</v>
      </c>
      <c r="T9" s="65" t="s">
        <v>724</v>
      </c>
      <c r="U9" s="58" t="s">
        <v>725</v>
      </c>
      <c r="V9" s="65" t="s">
        <v>727</v>
      </c>
      <c r="W9" s="58" t="s">
        <v>727</v>
      </c>
      <c r="X9" s="63" t="s">
        <v>728</v>
      </c>
      <c r="Y9" s="63" t="s">
        <v>729</v>
      </c>
      <c r="Z9" s="63" t="s">
        <v>730</v>
      </c>
      <c r="AB9" s="16" t="s">
        <v>731</v>
      </c>
      <c r="AC9" s="16" t="s">
        <v>719</v>
      </c>
      <c r="AD9" s="16" t="s">
        <v>729</v>
      </c>
      <c r="AE9" s="16" t="s">
        <v>730</v>
      </c>
      <c r="AG9" s="16" t="s">
        <v>731</v>
      </c>
      <c r="AH9" s="16" t="s">
        <v>719</v>
      </c>
      <c r="AI9" s="16" t="s">
        <v>729</v>
      </c>
      <c r="AJ9" s="16" t="s">
        <v>730</v>
      </c>
    </row>
    <row r="10" spans="1:36">
      <c r="B10" s="66" t="str">
        <f>CLT[[#Headers],[11]]</f>
        <v>11</v>
      </c>
      <c r="C10" s="67">
        <f>IF(INDEX(CLT[],MATCH($I$3,CLT[Code],0),MATCH(B10,CLT[#Headers],0))="",0,INDEX(CLT[],MATCH($I$3,CLT[Code],0),MATCH(B10,CLT[#Headers],0)))</f>
        <v>0</v>
      </c>
      <c r="D10" s="67">
        <f>IF(C10=0,0,$C$15/2+IF(B10=CLT[[#Headers],[3]],$C$14/2,IF(B10=CLT[[#Headers],[5]],$C$14+$C$13/2,IF(B10=CLT[[#Headers],[7]],$C$14+$C$13+$C$12/2,IF(B10=CLT[[#Headers],[9]],$C$14+$C$13+$C$12+$C$11/2,IF(B10=CLT[[#Headers],[11]],$C$14+$C$13+$C$12+$C$11+$C$10/2,-$C$15/2))))))</f>
        <v>0</v>
      </c>
      <c r="E10" s="66">
        <f>E3</f>
        <v>11000</v>
      </c>
      <c r="F10" s="66">
        <f>F3</f>
        <v>370</v>
      </c>
      <c r="G10" s="66">
        <f>G3</f>
        <v>690</v>
      </c>
      <c r="H10" s="66">
        <f>H3</f>
        <v>69</v>
      </c>
      <c r="I10" s="66">
        <v>690</v>
      </c>
      <c r="J10" s="68">
        <f t="shared" ref="J10:J11" si="0">J11-C11/2-C10/2</f>
        <v>-40</v>
      </c>
      <c r="K10" s="68">
        <f>IF(E10&gt;F10,(C10^3/12+C10*(J10^2))*$B$3,0)</f>
        <v>0</v>
      </c>
      <c r="L10" s="68">
        <f>IF(E10&lt;F10,(C10^3/12+C10*(J10^2))*$B$3,0)</f>
        <v>0</v>
      </c>
      <c r="M10" s="69">
        <f>(E10*(C10/1000)^3/12+E10*C10/1000*(J10/1000)^2)*10^3</f>
        <v>0</v>
      </c>
      <c r="N10" s="69">
        <f>(F10*(C10/1000)^3/12+F10*C10/1000*(J10/1000)^2)*1000</f>
        <v>0</v>
      </c>
      <c r="O10" s="69">
        <f t="shared" ref="O10:O20" si="1">(2*I10*C10/1000*(J10/1000)^2+I10*(C10/1000)^3/6)*1000</f>
        <v>0</v>
      </c>
      <c r="P10" s="66">
        <f t="shared" ref="P10:P20" si="2">(E10*C10/1000*(J10/1000)^2)*1000</f>
        <v>0</v>
      </c>
      <c r="Q10" s="66">
        <f>1/$P$21*E10*C10/1000*J10/1000*10^3</f>
        <v>0</v>
      </c>
      <c r="R10" s="66" t="str">
        <f>IF(C10=0,"",(C10/1000)/(3*G10)*(Q10+Q10^2)*1000)</f>
        <v/>
      </c>
      <c r="S10" s="66">
        <f t="shared" ref="S10:S20" si="3">(F10*C10/1000*(J10/1000)^2)*1000</f>
        <v>0</v>
      </c>
      <c r="T10" s="66">
        <f>1/$S$21*F10*C10/1000*J10/1000*10^3</f>
        <v>0</v>
      </c>
      <c r="U10" s="66" t="str">
        <f>IF(C10=0,"",(C10/1000)/(3*H10)*(T10+T10^2)*1000)</f>
        <v/>
      </c>
      <c r="V10" s="66">
        <f t="shared" ref="V10:V20" si="4">C10/1000*E10</f>
        <v>0</v>
      </c>
      <c r="W10" s="66">
        <f t="shared" ref="W10:W20" si="5">C10/1000*F10</f>
        <v>0</v>
      </c>
      <c r="X10" s="66">
        <f t="shared" ref="X10:X20" si="6">C10/1000*I10</f>
        <v>0</v>
      </c>
      <c r="Y10" s="66">
        <f>IF(E10&gt;F10,$B$3*C10,0)</f>
        <v>0</v>
      </c>
      <c r="Z10" s="66">
        <f>IF(E10&lt;F10,$B$3*C10,0)</f>
        <v>0</v>
      </c>
      <c r="AB10" s="24">
        <f>IF(E10&gt;F10,(C10^3/12+C10*(J10^2))*$L$3,0)</f>
        <v>0</v>
      </c>
      <c r="AC10" s="24">
        <f>IF(E10&lt;F10,(C10^3/12+C10*(J10^2))*$L$3,0)</f>
        <v>0</v>
      </c>
      <c r="AD10" s="24">
        <f>IF(E10&gt;F10,$L$3*C10,0)</f>
        <v>0</v>
      </c>
      <c r="AE10" s="24">
        <f>IF(E10&lt;F10,$L$3*C10,0)</f>
        <v>0</v>
      </c>
      <c r="AG10" s="24">
        <f>IF(E10&gt;F10,(C10^3/12+C10*(J10^2))*$AH$3,0)</f>
        <v>0</v>
      </c>
      <c r="AH10" s="24">
        <f>IF(E10&lt;F10,(C10^3/12+C10*(J10^2))*$AH$3,0)</f>
        <v>0</v>
      </c>
      <c r="AI10" s="24">
        <f>IF(E10&gt;F10,$AH$3*C10,0)</f>
        <v>0</v>
      </c>
      <c r="AJ10" s="24">
        <f>IF(E10&lt;F10,$AH$3*C10,0)</f>
        <v>0</v>
      </c>
    </row>
    <row r="11" spans="1:36">
      <c r="B11" s="66" t="str">
        <f>CLT[[#Headers],[9]]</f>
        <v>9</v>
      </c>
      <c r="C11" s="67">
        <f>IF(INDEX(CLT[],MATCH($I$3,CLT[Code],0),MATCH(B11,CLT[#Headers],0))="",0,INDEX(CLT[],MATCH($I$3,CLT[Code],0),MATCH(B11,CLT[#Headers],0)))</f>
        <v>0</v>
      </c>
      <c r="D11" s="67">
        <f>IF(C11=0,0,$C$15/2+IF(B11=CLT[[#Headers],[3]],$C$14/2,IF(B11=CLT[[#Headers],[5]],$C$14+$C$13/2,IF(B11=CLT[[#Headers],[7]],$C$14+$C$13+$C$12/2,IF(B11=CLT[[#Headers],[9]],$C$14+$C$13+$C$12+$C$11/2,IF(B11=CLT[[#Headers],[11]],$C$14+$C$13+$C$12+$C$11+$C$10/2,-$C$15/2))))))</f>
        <v>0</v>
      </c>
      <c r="E11" s="66">
        <f>F3</f>
        <v>370</v>
      </c>
      <c r="F11" s="66">
        <f>E3</f>
        <v>11000</v>
      </c>
      <c r="G11" s="66">
        <f>H3</f>
        <v>69</v>
      </c>
      <c r="H11" s="66">
        <f>G3</f>
        <v>690</v>
      </c>
      <c r="I11" s="66">
        <v>690</v>
      </c>
      <c r="J11" s="68">
        <f t="shared" si="0"/>
        <v>-40</v>
      </c>
      <c r="K11" s="68">
        <f t="shared" ref="K11:K20" si="7">IF(E11&gt;F11,(C11^3/12+C11*(J11^2))*$B$3,0)</f>
        <v>0</v>
      </c>
      <c r="L11" s="68">
        <f t="shared" ref="L11:L20" si="8">IF(E11&lt;F11,(C11^3/12+C11*(J11^2))*$B$3,0)</f>
        <v>0</v>
      </c>
      <c r="M11" s="69">
        <f>(E11*(C11/1000)^3/12+E11*C11/1000*(J11/1000)^2)*10^3</f>
        <v>0</v>
      </c>
      <c r="N11" s="69">
        <f>(F11*(C11/1000)^3/12+F11*C11/1000*(J11/1000)^2)*1000</f>
        <v>0</v>
      </c>
      <c r="O11" s="69">
        <f t="shared" si="1"/>
        <v>0</v>
      </c>
      <c r="P11" s="66">
        <f t="shared" si="2"/>
        <v>0</v>
      </c>
      <c r="Q11" s="66">
        <f t="shared" ref="Q11:Q20" si="9">(1/$P$21*E11*C11/1000*J11/1000)*10^3+Q10</f>
        <v>0</v>
      </c>
      <c r="R11" s="66" t="str">
        <f t="shared" ref="R11:R20" si="10">IF(C11=0,"",(C11/1000)/(3*G11)*(Q10^2+Q10*Q11+Q11^2)*1000)</f>
        <v/>
      </c>
      <c r="S11" s="66">
        <f t="shared" si="3"/>
        <v>0</v>
      </c>
      <c r="T11" s="66">
        <f t="shared" ref="T11:T20" si="11">(1/$S$21*F11*C11/1000*J11/1000)*10^3+T10</f>
        <v>0</v>
      </c>
      <c r="U11" s="66" t="str">
        <f t="shared" ref="U11:U20" si="12">IF(C11=0,"",(C11/1000)/(3*H11)*(T10^2+T10*T11+T11^2)*1000)</f>
        <v/>
      </c>
      <c r="V11" s="66">
        <f t="shared" si="4"/>
        <v>0</v>
      </c>
      <c r="W11" s="66">
        <f t="shared" si="5"/>
        <v>0</v>
      </c>
      <c r="X11" s="66">
        <f t="shared" si="6"/>
        <v>0</v>
      </c>
      <c r="Y11" s="66">
        <f t="shared" ref="Y11:Y20" si="13">IF(E11&gt;F11,$B$3*C11,0)</f>
        <v>0</v>
      </c>
      <c r="Z11" s="66">
        <f t="shared" ref="Z11:Z20" si="14">IF(E11&lt;F11,$B$3*C11,0)</f>
        <v>0</v>
      </c>
      <c r="AB11" s="24">
        <f t="shared" ref="AB11:AB20" si="15">IF(E11&gt;F11,(C11^3/12+C11*(J11^2))*$L$3,0)</f>
        <v>0</v>
      </c>
      <c r="AC11" s="24">
        <f t="shared" ref="AC11:AC20" si="16">IF(E11&lt;F11,(C11^3/12+C11*(J11^2))*$L$3,0)</f>
        <v>0</v>
      </c>
      <c r="AD11" s="24">
        <f t="shared" ref="AD11:AD20" si="17">IF(E11&gt;F11,$L$3*C11,0)</f>
        <v>0</v>
      </c>
      <c r="AE11" s="24">
        <f t="shared" ref="AE11:AE20" si="18">IF(E11&lt;F11,$L$3*C11,0)</f>
        <v>0</v>
      </c>
      <c r="AG11" s="24">
        <f t="shared" ref="AG11:AG20" si="19">IF(E11&gt;F11,(C11^3/12+C11*(J11^2))*$AH$3,0)</f>
        <v>0</v>
      </c>
      <c r="AH11" s="24">
        <f t="shared" ref="AH11:AH20" si="20">IF(E11&lt;F11,(C11^3/12+C11*(J11^2))*$AH$3,0)</f>
        <v>0</v>
      </c>
      <c r="AI11" s="24">
        <f t="shared" ref="AI11:AI20" si="21">IF(E11&gt;F11,$AH$3*C11,0)</f>
        <v>0</v>
      </c>
      <c r="AJ11" s="24">
        <f t="shared" ref="AJ11:AJ20" si="22">IF(E11&lt;F11,$AH$3*C11,0)</f>
        <v>0</v>
      </c>
    </row>
    <row r="12" spans="1:36">
      <c r="B12" s="66" t="str">
        <f>CLT[[#Headers],[7]]</f>
        <v>7</v>
      </c>
      <c r="C12" s="67">
        <f>IF(INDEX(CLT[],MATCH($I$3,CLT[Code],0),MATCH(B12,CLT[#Headers],0))="",0,INDEX(CLT[],MATCH($I$3,CLT[Code],0),MATCH(B12,CLT[#Headers],0)))</f>
        <v>0</v>
      </c>
      <c r="D12" s="67">
        <f>IF(C12=0,0,$C$15/2+IF(B12=CLT[[#Headers],[3]],$C$14/2,IF(B12=CLT[[#Headers],[5]],$C$14+$C$13/2,IF(B12=CLT[[#Headers],[7]],$C$14+$C$13+$C$12/2,IF(B12=CLT[[#Headers],[9]],$C$14+$C$13+$C$12+$C$11/2,IF(B12=CLT[[#Headers],[11]],$C$14+$C$13+$C$12+$C$11+$C$10/2,-$C$15/2))))))</f>
        <v>0</v>
      </c>
      <c r="E12" s="71">
        <f>E3</f>
        <v>11000</v>
      </c>
      <c r="F12" s="66">
        <f>F3</f>
        <v>370</v>
      </c>
      <c r="G12" s="66">
        <f>G3</f>
        <v>690</v>
      </c>
      <c r="H12" s="66">
        <f>H3</f>
        <v>69</v>
      </c>
      <c r="I12" s="66">
        <v>690</v>
      </c>
      <c r="J12" s="68">
        <f>J13-C13/2-C12/2</f>
        <v>-40</v>
      </c>
      <c r="K12" s="68">
        <f t="shared" si="7"/>
        <v>0</v>
      </c>
      <c r="L12" s="68">
        <f t="shared" si="8"/>
        <v>0</v>
      </c>
      <c r="M12" s="69">
        <f>(E12*(C12/1000)^3/12+E12*C12/1000*(J12/1000)^2)*10^3</f>
        <v>0</v>
      </c>
      <c r="N12" s="69">
        <f>(F12*(C12/1000)^3/12+F12*C12/1000*(J12/1000)^2)*1000</f>
        <v>0</v>
      </c>
      <c r="O12" s="69">
        <f t="shared" si="1"/>
        <v>0</v>
      </c>
      <c r="P12" s="66">
        <f t="shared" si="2"/>
        <v>0</v>
      </c>
      <c r="Q12" s="66">
        <f t="shared" si="9"/>
        <v>0</v>
      </c>
      <c r="R12" s="66" t="str">
        <f t="shared" si="10"/>
        <v/>
      </c>
      <c r="S12" s="66">
        <f t="shared" si="3"/>
        <v>0</v>
      </c>
      <c r="T12" s="66">
        <f t="shared" si="11"/>
        <v>0</v>
      </c>
      <c r="U12" s="66" t="str">
        <f t="shared" si="12"/>
        <v/>
      </c>
      <c r="V12" s="66">
        <f t="shared" si="4"/>
        <v>0</v>
      </c>
      <c r="W12" s="66">
        <f t="shared" si="5"/>
        <v>0</v>
      </c>
      <c r="X12" s="66">
        <f t="shared" si="6"/>
        <v>0</v>
      </c>
      <c r="Y12" s="66">
        <f t="shared" si="13"/>
        <v>0</v>
      </c>
      <c r="Z12" s="66">
        <f t="shared" si="14"/>
        <v>0</v>
      </c>
      <c r="AB12" s="24">
        <f t="shared" si="15"/>
        <v>0</v>
      </c>
      <c r="AC12" s="24">
        <f t="shared" si="16"/>
        <v>0</v>
      </c>
      <c r="AD12" s="24">
        <f t="shared" si="17"/>
        <v>0</v>
      </c>
      <c r="AE12" s="24">
        <f t="shared" si="18"/>
        <v>0</v>
      </c>
      <c r="AG12" s="24">
        <f t="shared" si="19"/>
        <v>0</v>
      </c>
      <c r="AH12" s="24">
        <f t="shared" si="20"/>
        <v>0</v>
      </c>
      <c r="AI12" s="24">
        <f t="shared" si="21"/>
        <v>0</v>
      </c>
      <c r="AJ12" s="24">
        <f t="shared" si="22"/>
        <v>0</v>
      </c>
    </row>
    <row r="13" spans="1:36">
      <c r="B13" s="66" t="str">
        <f>CLT[[#Headers],[5]]</f>
        <v>5</v>
      </c>
      <c r="C13" s="67">
        <f>IF(INDEX(CLT[],MATCH($I$3,CLT[Code],0),MATCH(B13,CLT[#Headers],0))="",0,INDEX(CLT[],MATCH($I$3,CLT[Code],0),MATCH(B13,CLT[#Headers],0)))</f>
        <v>0</v>
      </c>
      <c r="D13" s="67">
        <f>IF(C13=0,0,$C$15/2+IF(B13=CLT[[#Headers],[3]],$C$14/2,IF(B13=CLT[[#Headers],[5]],$C$14+$C$13/2,IF(B13=CLT[[#Headers],[7]],$C$14+$C$13+$C$12/2,IF(B13=CLT[[#Headers],[9]],$C$14+$C$13+$C$12+$C$11/2,IF(B13=CLT[[#Headers],[11]],$C$14+$C$13+$C$12+$C$11+$C$10/2,-$C$15/2))))))</f>
        <v>0</v>
      </c>
      <c r="E13" s="66">
        <f>F3</f>
        <v>370</v>
      </c>
      <c r="F13" s="66">
        <f>E3</f>
        <v>11000</v>
      </c>
      <c r="G13" s="66">
        <f>H3</f>
        <v>69</v>
      </c>
      <c r="H13" s="66">
        <f>G3</f>
        <v>690</v>
      </c>
      <c r="I13" s="66">
        <v>690</v>
      </c>
      <c r="J13" s="68">
        <f>J14-C14/2-C13/2</f>
        <v>-40</v>
      </c>
      <c r="K13" s="68">
        <f t="shared" si="7"/>
        <v>0</v>
      </c>
      <c r="L13" s="68">
        <f t="shared" si="8"/>
        <v>0</v>
      </c>
      <c r="M13" s="69">
        <f>(E13*(C13/1000)^3/12+E13*C13/1000*(J13/1000)^2)*1000</f>
        <v>0</v>
      </c>
      <c r="N13" s="69">
        <f>(F13*(C13/1000)^3/12+F13*C13/1000*(J13/1000)^2)*1000</f>
        <v>0</v>
      </c>
      <c r="O13" s="69">
        <f t="shared" si="1"/>
        <v>0</v>
      </c>
      <c r="P13" s="66">
        <f t="shared" si="2"/>
        <v>0</v>
      </c>
      <c r="Q13" s="66">
        <f t="shared" si="9"/>
        <v>0</v>
      </c>
      <c r="R13" s="66" t="str">
        <f t="shared" si="10"/>
        <v/>
      </c>
      <c r="S13" s="66">
        <f t="shared" si="3"/>
        <v>0</v>
      </c>
      <c r="T13" s="66">
        <f t="shared" si="11"/>
        <v>0</v>
      </c>
      <c r="U13" s="66" t="str">
        <f t="shared" si="12"/>
        <v/>
      </c>
      <c r="V13" s="66">
        <f t="shared" si="4"/>
        <v>0</v>
      </c>
      <c r="W13" s="66">
        <f t="shared" si="5"/>
        <v>0</v>
      </c>
      <c r="X13" s="66">
        <f t="shared" si="6"/>
        <v>0</v>
      </c>
      <c r="Y13" s="66">
        <f t="shared" si="13"/>
        <v>0</v>
      </c>
      <c r="Z13" s="66">
        <f t="shared" si="14"/>
        <v>0</v>
      </c>
      <c r="AB13" s="24">
        <f t="shared" si="15"/>
        <v>0</v>
      </c>
      <c r="AC13" s="24">
        <f t="shared" si="16"/>
        <v>0</v>
      </c>
      <c r="AD13" s="24">
        <f t="shared" si="17"/>
        <v>0</v>
      </c>
      <c r="AE13" s="24">
        <f t="shared" si="18"/>
        <v>0</v>
      </c>
      <c r="AG13" s="24">
        <f t="shared" si="19"/>
        <v>0</v>
      </c>
      <c r="AH13" s="24">
        <f t="shared" si="20"/>
        <v>0</v>
      </c>
      <c r="AI13" s="24">
        <f t="shared" si="21"/>
        <v>0</v>
      </c>
      <c r="AJ13" s="24">
        <f t="shared" si="22"/>
        <v>0</v>
      </c>
    </row>
    <row r="14" spans="1:36">
      <c r="B14" s="66" t="str">
        <f>CLT[[#Headers],[3]]</f>
        <v>3</v>
      </c>
      <c r="C14" s="67">
        <f>IF(INDEX(CLT[],MATCH($I$3,CLT[Code],0),MATCH(B14,CLT[#Headers],0))="",0,INDEX(CLT[],MATCH($I$3,CLT[Code],0),MATCH(B14,CLT[#Headers],0)))</f>
        <v>30</v>
      </c>
      <c r="D14" s="67">
        <f>IF(C14=0,0,$C$15/2+IF(B14=CLT[[#Headers],[3]],$C$14/2,IF(B14=CLT[[#Headers],[5]],$C$14+$C$13/2,IF(B14=CLT[[#Headers],[7]],$C$14+$C$13+$C$12/2,IF(B14=CLT[[#Headers],[9]],$C$14+$C$13+$C$12+$C$11/2,IF(B14=CLT[[#Headers],[11]],$C$14+$C$13+$C$12+$C$11+$C$10/2,-$C$15/2))))))</f>
        <v>25</v>
      </c>
      <c r="E14" s="66">
        <f>E3</f>
        <v>11000</v>
      </c>
      <c r="F14" s="66">
        <f>F3</f>
        <v>370</v>
      </c>
      <c r="G14" s="66">
        <f>G3</f>
        <v>690</v>
      </c>
      <c r="H14" s="66">
        <f>H3</f>
        <v>69</v>
      </c>
      <c r="I14" s="66">
        <v>690</v>
      </c>
      <c r="J14" s="68">
        <f>-C15/2-C14/2</f>
        <v>-25</v>
      </c>
      <c r="K14" s="68">
        <f t="shared" si="7"/>
        <v>12600000</v>
      </c>
      <c r="L14" s="68">
        <f t="shared" si="8"/>
        <v>0</v>
      </c>
      <c r="M14" s="69">
        <f>(E14*(C14/1000)^3/12+E14*C14/1000*(J14/1000)^2)*1000</f>
        <v>231.00000000000003</v>
      </c>
      <c r="N14" s="69">
        <f>(F14*(C14/1000)^3/12+F14*C14/1000*(J14/1000)^2)*1000</f>
        <v>7.7700000000000005</v>
      </c>
      <c r="O14" s="69">
        <f t="shared" si="1"/>
        <v>28.980000000000004</v>
      </c>
      <c r="P14" s="66">
        <f t="shared" si="2"/>
        <v>206.25000000000006</v>
      </c>
      <c r="Q14" s="66">
        <f t="shared" si="9"/>
        <v>-19.999999999999996</v>
      </c>
      <c r="R14" s="66">
        <f t="shared" si="10"/>
        <v>5.7971014492753605</v>
      </c>
      <c r="S14" s="66">
        <f t="shared" si="3"/>
        <v>6.9375000000000009</v>
      </c>
      <c r="T14" s="66">
        <f t="shared" si="11"/>
        <v>-19.999999999999996</v>
      </c>
      <c r="U14" s="66">
        <f t="shared" si="12"/>
        <v>57.971014492753604</v>
      </c>
      <c r="V14" s="66">
        <f t="shared" si="4"/>
        <v>330</v>
      </c>
      <c r="W14" s="66">
        <f t="shared" si="5"/>
        <v>11.1</v>
      </c>
      <c r="X14" s="66">
        <f t="shared" si="6"/>
        <v>20.7</v>
      </c>
      <c r="Y14" s="66">
        <f t="shared" si="13"/>
        <v>18000</v>
      </c>
      <c r="Z14" s="66">
        <f t="shared" si="14"/>
        <v>0</v>
      </c>
      <c r="AB14" s="24">
        <f t="shared" si="15"/>
        <v>10718676.498477414</v>
      </c>
      <c r="AC14" s="24">
        <f t="shared" si="16"/>
        <v>0</v>
      </c>
      <c r="AD14" s="24">
        <f t="shared" si="17"/>
        <v>15312.394997824878</v>
      </c>
      <c r="AE14" s="24">
        <f t="shared" si="18"/>
        <v>0</v>
      </c>
      <c r="AG14" s="24">
        <f t="shared" si="19"/>
        <v>4620000</v>
      </c>
      <c r="AH14" s="24">
        <f t="shared" si="20"/>
        <v>0</v>
      </c>
      <c r="AI14" s="24">
        <f t="shared" si="21"/>
        <v>6600</v>
      </c>
      <c r="AJ14" s="24">
        <f t="shared" si="22"/>
        <v>0</v>
      </c>
    </row>
    <row r="15" spans="1:36" s="52" customFormat="1">
      <c r="A15" s="52">
        <f>G188/2-EJeff!C15/2</f>
        <v>-10</v>
      </c>
      <c r="B15" s="70" t="str">
        <f>CLT[[#Headers],[0]]</f>
        <v>0</v>
      </c>
      <c r="C15" s="67">
        <f>IF(INDEX(CLT[],MATCH($I$3,CLT[Code],0),MATCH(B15,CLT[#Headers],0))="",0,INDEX(CLT[],MATCH($I$3,CLT[Code],0),MATCH(B15,CLT[#Headers],0)))</f>
        <v>20</v>
      </c>
      <c r="D15" s="67">
        <f>IF(C15=0,0,$C$15/2+IF(B15=3,D16+C15/2,IF(B15=5,$C$14+$C$13/2,IF(B15=7,$C$14+$C$13+$C$12/2,IF(B15=9,$C$14+$C$13+$C$12+$C$11/2,IF(B15=11,$C$14+$C$13+$C$12+$C$11+$C$10/2,-$C$15/2))))))</f>
        <v>0</v>
      </c>
      <c r="E15" s="70">
        <f>F3</f>
        <v>370</v>
      </c>
      <c r="F15" s="70">
        <f>E3</f>
        <v>11000</v>
      </c>
      <c r="G15" s="70">
        <f>H3</f>
        <v>69</v>
      </c>
      <c r="H15" s="70">
        <f>G3</f>
        <v>690</v>
      </c>
      <c r="I15" s="70">
        <v>690</v>
      </c>
      <c r="J15" s="72">
        <v>0</v>
      </c>
      <c r="K15" s="68">
        <f t="shared" si="7"/>
        <v>0</v>
      </c>
      <c r="L15" s="68">
        <f t="shared" si="8"/>
        <v>400000</v>
      </c>
      <c r="M15" s="73">
        <f>(E15*(C15/1000)^3/12)*1000</f>
        <v>0.24666666666666667</v>
      </c>
      <c r="N15" s="73">
        <f>F15*(C15/1000)^3/12*1000</f>
        <v>7.3333333333333339</v>
      </c>
      <c r="O15" s="73">
        <f t="shared" si="1"/>
        <v>0.92000000000000015</v>
      </c>
      <c r="P15" s="70">
        <f t="shared" si="2"/>
        <v>0</v>
      </c>
      <c r="Q15" s="66">
        <f t="shared" si="9"/>
        <v>-19.999999999999996</v>
      </c>
      <c r="R15" s="66">
        <f t="shared" si="10"/>
        <v>115.94202898550721</v>
      </c>
      <c r="S15" s="66">
        <f t="shared" si="3"/>
        <v>0</v>
      </c>
      <c r="T15" s="66">
        <f t="shared" si="11"/>
        <v>-19.999999999999996</v>
      </c>
      <c r="U15" s="66">
        <f t="shared" si="12"/>
        <v>11.594202898550719</v>
      </c>
      <c r="V15" s="66">
        <f t="shared" si="4"/>
        <v>7.4</v>
      </c>
      <c r="W15" s="66">
        <f t="shared" si="5"/>
        <v>220</v>
      </c>
      <c r="X15" s="66">
        <f t="shared" si="6"/>
        <v>13.8</v>
      </c>
      <c r="Y15" s="66">
        <f t="shared" si="13"/>
        <v>0</v>
      </c>
      <c r="Z15" s="66">
        <f t="shared" si="14"/>
        <v>12000</v>
      </c>
      <c r="AB15" s="24">
        <f t="shared" si="15"/>
        <v>0</v>
      </c>
      <c r="AC15" s="24">
        <f t="shared" si="16"/>
        <v>340275.44439610839</v>
      </c>
      <c r="AD15" s="24">
        <f t="shared" si="17"/>
        <v>0</v>
      </c>
      <c r="AE15" s="24">
        <f t="shared" si="18"/>
        <v>10208.263331883252</v>
      </c>
      <c r="AG15" s="24">
        <f t="shared" si="19"/>
        <v>0</v>
      </c>
      <c r="AH15" s="24">
        <f t="shared" si="20"/>
        <v>146666.66666666666</v>
      </c>
      <c r="AI15" s="24">
        <f t="shared" si="21"/>
        <v>0</v>
      </c>
      <c r="AJ15" s="24">
        <f t="shared" si="22"/>
        <v>4400</v>
      </c>
    </row>
    <row r="16" spans="1:36">
      <c r="B16" s="66" t="str">
        <f>CLT[[#Headers],[3'']]</f>
        <v>3'</v>
      </c>
      <c r="C16" s="67">
        <f>IF(INDEX(CLT[],MATCH($I$3,CLT[Code],0),MATCH(B16,CLT[#Headers],0))="",0,INDEX(CLT[],MATCH($I$3,CLT[Code],0),MATCH(B16,CLT[#Headers],0)))</f>
        <v>30</v>
      </c>
      <c r="D16" s="67">
        <f>-D14</f>
        <v>-25</v>
      </c>
      <c r="E16" s="66">
        <f>E3</f>
        <v>11000</v>
      </c>
      <c r="F16" s="66">
        <f>F3</f>
        <v>370</v>
      </c>
      <c r="G16" s="66">
        <f>G3</f>
        <v>690</v>
      </c>
      <c r="H16" s="66">
        <f>H3</f>
        <v>69</v>
      </c>
      <c r="I16" s="66">
        <v>690</v>
      </c>
      <c r="J16" s="68">
        <f>C15/2+C16/2</f>
        <v>25</v>
      </c>
      <c r="K16" s="68">
        <f t="shared" si="7"/>
        <v>12600000</v>
      </c>
      <c r="L16" s="68">
        <f t="shared" si="8"/>
        <v>0</v>
      </c>
      <c r="M16" s="69">
        <f>(E16*(C16/1000)^3/12+E16*C16/1000*(J16/1000)^2)*1000</f>
        <v>231.00000000000003</v>
      </c>
      <c r="N16" s="69">
        <f>(F16*(C16/1000)^3/12+F16*C16/1000*(J16/1000)^2)*1000</f>
        <v>7.7700000000000005</v>
      </c>
      <c r="O16" s="69">
        <f t="shared" si="1"/>
        <v>28.980000000000004</v>
      </c>
      <c r="P16" s="66">
        <f t="shared" si="2"/>
        <v>206.25000000000006</v>
      </c>
      <c r="Q16" s="66">
        <f t="shared" si="9"/>
        <v>0</v>
      </c>
      <c r="R16" s="66">
        <f t="shared" si="10"/>
        <v>5.7971014492753605</v>
      </c>
      <c r="S16" s="66">
        <f t="shared" si="3"/>
        <v>6.9375000000000009</v>
      </c>
      <c r="T16" s="66">
        <f t="shared" si="11"/>
        <v>0</v>
      </c>
      <c r="U16" s="66">
        <f t="shared" si="12"/>
        <v>57.971014492753604</v>
      </c>
      <c r="V16" s="66">
        <f t="shared" si="4"/>
        <v>330</v>
      </c>
      <c r="W16" s="66">
        <f t="shared" si="5"/>
        <v>11.1</v>
      </c>
      <c r="X16" s="66">
        <f t="shared" si="6"/>
        <v>20.7</v>
      </c>
      <c r="Y16" s="66">
        <f t="shared" si="13"/>
        <v>18000</v>
      </c>
      <c r="Z16" s="66">
        <f t="shared" si="14"/>
        <v>0</v>
      </c>
      <c r="AB16" s="24">
        <f t="shared" si="15"/>
        <v>10718676.498477414</v>
      </c>
      <c r="AC16" s="24">
        <f t="shared" si="16"/>
        <v>0</v>
      </c>
      <c r="AD16" s="24">
        <f t="shared" si="17"/>
        <v>15312.394997824878</v>
      </c>
      <c r="AE16" s="24">
        <f t="shared" si="18"/>
        <v>0</v>
      </c>
      <c r="AG16" s="24">
        <f t="shared" si="19"/>
        <v>4620000</v>
      </c>
      <c r="AH16" s="24">
        <f t="shared" si="20"/>
        <v>0</v>
      </c>
      <c r="AI16" s="24">
        <f t="shared" si="21"/>
        <v>6600</v>
      </c>
      <c r="AJ16" s="24">
        <f t="shared" si="22"/>
        <v>0</v>
      </c>
    </row>
    <row r="17" spans="2:36">
      <c r="B17" s="66" t="str">
        <f>CLT[[#Headers],[5'']]</f>
        <v>5'</v>
      </c>
      <c r="C17" s="67">
        <f>IF(INDEX(CLT[],MATCH($I$3,CLT[Code],0),MATCH(B17,CLT[#Headers],0))="",0,INDEX(CLT[],MATCH($I$3,CLT[Code],0),MATCH(B17,CLT[#Headers],0)))</f>
        <v>0</v>
      </c>
      <c r="D17" s="67">
        <f>-D13</f>
        <v>0</v>
      </c>
      <c r="E17" s="66">
        <f>F3</f>
        <v>370</v>
      </c>
      <c r="F17" s="66">
        <f>E3</f>
        <v>11000</v>
      </c>
      <c r="G17" s="66">
        <f>H3</f>
        <v>69</v>
      </c>
      <c r="H17" s="66">
        <f>G3</f>
        <v>690</v>
      </c>
      <c r="I17" s="66">
        <v>690</v>
      </c>
      <c r="J17" s="68">
        <f>J16+C16/2+C17/2</f>
        <v>40</v>
      </c>
      <c r="K17" s="68">
        <f t="shared" si="7"/>
        <v>0</v>
      </c>
      <c r="L17" s="68">
        <f t="shared" si="8"/>
        <v>0</v>
      </c>
      <c r="M17" s="69">
        <f>(E17*(C17/1000)^3/12+E17*C17/1000*(J17/1000)^2)*1000</f>
        <v>0</v>
      </c>
      <c r="N17" s="69">
        <f>(F17*(C17/1000)^3/12+F17*C17/1000*(J17/1000)^2)*1000</f>
        <v>0</v>
      </c>
      <c r="O17" s="69">
        <f t="shared" si="1"/>
        <v>0</v>
      </c>
      <c r="P17" s="66">
        <f t="shared" si="2"/>
        <v>0</v>
      </c>
      <c r="Q17" s="66">
        <f t="shared" si="9"/>
        <v>0</v>
      </c>
      <c r="R17" s="66" t="str">
        <f t="shared" si="10"/>
        <v/>
      </c>
      <c r="S17" s="66">
        <f t="shared" si="3"/>
        <v>0</v>
      </c>
      <c r="T17" s="66">
        <f t="shared" si="11"/>
        <v>0</v>
      </c>
      <c r="U17" s="66" t="str">
        <f t="shared" si="12"/>
        <v/>
      </c>
      <c r="V17" s="66">
        <f t="shared" si="4"/>
        <v>0</v>
      </c>
      <c r="W17" s="66">
        <f t="shared" si="5"/>
        <v>0</v>
      </c>
      <c r="X17" s="66">
        <f t="shared" si="6"/>
        <v>0</v>
      </c>
      <c r="Y17" s="66">
        <f t="shared" si="13"/>
        <v>0</v>
      </c>
      <c r="Z17" s="66">
        <f t="shared" si="14"/>
        <v>0</v>
      </c>
      <c r="AB17" s="24">
        <f t="shared" si="15"/>
        <v>0</v>
      </c>
      <c r="AC17" s="24">
        <f t="shared" si="16"/>
        <v>0</v>
      </c>
      <c r="AD17" s="24">
        <f t="shared" si="17"/>
        <v>0</v>
      </c>
      <c r="AE17" s="24">
        <f t="shared" si="18"/>
        <v>0</v>
      </c>
      <c r="AG17" s="24">
        <f t="shared" si="19"/>
        <v>0</v>
      </c>
      <c r="AH17" s="24">
        <f t="shared" si="20"/>
        <v>0</v>
      </c>
      <c r="AI17" s="24">
        <f t="shared" si="21"/>
        <v>0</v>
      </c>
      <c r="AJ17" s="24">
        <f t="shared" si="22"/>
        <v>0</v>
      </c>
    </row>
    <row r="18" spans="2:36">
      <c r="B18" s="66" t="str">
        <f>CLT[[#Headers],[7'']]</f>
        <v>7'</v>
      </c>
      <c r="C18" s="67">
        <f>IF(INDEX(CLT[],MATCH($I$3,CLT[Code],0),MATCH(B18,CLT[#Headers],0))="",0,INDEX(CLT[],MATCH($I$3,CLT[Code],0),MATCH(B18,CLT[#Headers],0)))</f>
        <v>0</v>
      </c>
      <c r="D18" s="67">
        <f>-D12</f>
        <v>0</v>
      </c>
      <c r="E18" s="66">
        <f>E3</f>
        <v>11000</v>
      </c>
      <c r="F18" s="66">
        <f>F3</f>
        <v>370</v>
      </c>
      <c r="G18" s="66">
        <f>G3</f>
        <v>690</v>
      </c>
      <c r="H18" s="66">
        <f>H3</f>
        <v>69</v>
      </c>
      <c r="I18" s="66">
        <v>690</v>
      </c>
      <c r="J18" s="68">
        <f>J17+C17/2+C18/2</f>
        <v>40</v>
      </c>
      <c r="K18" s="68">
        <f t="shared" si="7"/>
        <v>0</v>
      </c>
      <c r="L18" s="68">
        <f t="shared" si="8"/>
        <v>0</v>
      </c>
      <c r="M18" s="69">
        <f>(E18*(C18/1000)^3/12+E18*C18/1000*(J18/1000)^2)*1000</f>
        <v>0</v>
      </c>
      <c r="N18" s="69">
        <f>(F18*(C18/1000)^3/12+F18*C18/1000*(J18/1000)^2)*1000</f>
        <v>0</v>
      </c>
      <c r="O18" s="69">
        <f t="shared" si="1"/>
        <v>0</v>
      </c>
      <c r="P18" s="66">
        <f t="shared" si="2"/>
        <v>0</v>
      </c>
      <c r="Q18" s="66">
        <f t="shared" si="9"/>
        <v>0</v>
      </c>
      <c r="R18" s="66" t="str">
        <f t="shared" si="10"/>
        <v/>
      </c>
      <c r="S18" s="66">
        <f t="shared" si="3"/>
        <v>0</v>
      </c>
      <c r="T18" s="66">
        <f t="shared" si="11"/>
        <v>0</v>
      </c>
      <c r="U18" s="66" t="str">
        <f t="shared" si="12"/>
        <v/>
      </c>
      <c r="V18" s="66">
        <f t="shared" si="4"/>
        <v>0</v>
      </c>
      <c r="W18" s="66">
        <f t="shared" si="5"/>
        <v>0</v>
      </c>
      <c r="X18" s="66">
        <f t="shared" si="6"/>
        <v>0</v>
      </c>
      <c r="Y18" s="66">
        <f t="shared" si="13"/>
        <v>0</v>
      </c>
      <c r="Z18" s="66">
        <f t="shared" si="14"/>
        <v>0</v>
      </c>
      <c r="AB18" s="24">
        <f t="shared" si="15"/>
        <v>0</v>
      </c>
      <c r="AC18" s="24">
        <f t="shared" si="16"/>
        <v>0</v>
      </c>
      <c r="AD18" s="24">
        <f t="shared" si="17"/>
        <v>0</v>
      </c>
      <c r="AE18" s="24">
        <f t="shared" si="18"/>
        <v>0</v>
      </c>
      <c r="AG18" s="24">
        <f t="shared" si="19"/>
        <v>0</v>
      </c>
      <c r="AH18" s="24">
        <f t="shared" si="20"/>
        <v>0</v>
      </c>
      <c r="AI18" s="24">
        <f t="shared" si="21"/>
        <v>0</v>
      </c>
      <c r="AJ18" s="24">
        <f t="shared" si="22"/>
        <v>0</v>
      </c>
    </row>
    <row r="19" spans="2:36">
      <c r="B19" s="66" t="str">
        <f>CLT[[#Headers],[9'']]</f>
        <v>9'</v>
      </c>
      <c r="C19" s="67">
        <f>IF(INDEX(CLT[],MATCH($I$3,CLT[Code],0),MATCH(B19,CLT[#Headers],0))="",0,INDEX(CLT[],MATCH($I$3,CLT[Code],0),MATCH(B19,CLT[#Headers],0)))</f>
        <v>0</v>
      </c>
      <c r="D19" s="67">
        <f>-D11</f>
        <v>0</v>
      </c>
      <c r="E19" s="66">
        <f>F3</f>
        <v>370</v>
      </c>
      <c r="F19" s="66">
        <f>E3</f>
        <v>11000</v>
      </c>
      <c r="G19" s="66">
        <f>H3</f>
        <v>69</v>
      </c>
      <c r="H19" s="66">
        <f>G3</f>
        <v>690</v>
      </c>
      <c r="I19" s="66">
        <v>690</v>
      </c>
      <c r="J19" s="68">
        <f t="shared" ref="J19:J20" si="23">J18+C18/2+C19/2</f>
        <v>40</v>
      </c>
      <c r="K19" s="68">
        <f t="shared" si="7"/>
        <v>0</v>
      </c>
      <c r="L19" s="68">
        <f t="shared" si="8"/>
        <v>0</v>
      </c>
      <c r="M19" s="69">
        <f>(E19*(C19/1000)^3/12+E19*C19/1000*(J19/1000)^2)*1000</f>
        <v>0</v>
      </c>
      <c r="N19" s="69">
        <f>(F19*(C19/1000)^3/12+F19*C19/1000*(J19/1000)^2)*1000</f>
        <v>0</v>
      </c>
      <c r="O19" s="69">
        <f t="shared" si="1"/>
        <v>0</v>
      </c>
      <c r="P19" s="66">
        <f t="shared" si="2"/>
        <v>0</v>
      </c>
      <c r="Q19" s="66">
        <f t="shared" si="9"/>
        <v>0</v>
      </c>
      <c r="R19" s="66" t="str">
        <f t="shared" si="10"/>
        <v/>
      </c>
      <c r="S19" s="66">
        <f t="shared" si="3"/>
        <v>0</v>
      </c>
      <c r="T19" s="66">
        <f t="shared" si="11"/>
        <v>0</v>
      </c>
      <c r="U19" s="66" t="str">
        <f t="shared" si="12"/>
        <v/>
      </c>
      <c r="V19" s="66">
        <f t="shared" si="4"/>
        <v>0</v>
      </c>
      <c r="W19" s="66">
        <f t="shared" si="5"/>
        <v>0</v>
      </c>
      <c r="X19" s="66">
        <f t="shared" si="6"/>
        <v>0</v>
      </c>
      <c r="Y19" s="66">
        <f t="shared" si="13"/>
        <v>0</v>
      </c>
      <c r="Z19" s="66">
        <f t="shared" si="14"/>
        <v>0</v>
      </c>
      <c r="AB19" s="24">
        <f t="shared" si="15"/>
        <v>0</v>
      </c>
      <c r="AC19" s="24">
        <f t="shared" si="16"/>
        <v>0</v>
      </c>
      <c r="AD19" s="24">
        <f t="shared" si="17"/>
        <v>0</v>
      </c>
      <c r="AE19" s="24">
        <f t="shared" si="18"/>
        <v>0</v>
      </c>
      <c r="AG19" s="24">
        <f t="shared" si="19"/>
        <v>0</v>
      </c>
      <c r="AH19" s="24">
        <f t="shared" si="20"/>
        <v>0</v>
      </c>
      <c r="AI19" s="24">
        <f t="shared" si="21"/>
        <v>0</v>
      </c>
      <c r="AJ19" s="24">
        <f t="shared" si="22"/>
        <v>0</v>
      </c>
    </row>
    <row r="20" spans="2:36" ht="15.75" thickBot="1">
      <c r="B20" s="66" t="str">
        <f>CLT[[#Headers],[11'']]</f>
        <v>11'</v>
      </c>
      <c r="C20" s="67">
        <f>IF(INDEX(CLT[],MATCH($I$3,CLT[Code],0),MATCH(B20,CLT[#Headers],0))="",0,INDEX(CLT[],MATCH($I$3,CLT[Code],0),MATCH(B20,CLT[#Headers],0)))</f>
        <v>0</v>
      </c>
      <c r="D20" s="67">
        <f>-D10</f>
        <v>0</v>
      </c>
      <c r="E20" s="66">
        <f>E3</f>
        <v>11000</v>
      </c>
      <c r="F20" s="66">
        <f>F3</f>
        <v>370</v>
      </c>
      <c r="G20" s="66">
        <f>G3</f>
        <v>690</v>
      </c>
      <c r="H20" s="66">
        <f>H3</f>
        <v>69</v>
      </c>
      <c r="I20" s="66">
        <v>690</v>
      </c>
      <c r="J20" s="68">
        <f t="shared" si="23"/>
        <v>40</v>
      </c>
      <c r="K20" s="68">
        <f t="shared" si="7"/>
        <v>0</v>
      </c>
      <c r="L20" s="68">
        <f t="shared" si="8"/>
        <v>0</v>
      </c>
      <c r="M20" s="74">
        <f>(E20*(C20/1000)^3/12+E20*C20/1000*(J20/1000)^2)*1000</f>
        <v>0</v>
      </c>
      <c r="N20" s="74">
        <f>(F20*(C20/1000)^3/12+F20*C20/1000*(J20/1000)^2)*1000</f>
        <v>0</v>
      </c>
      <c r="O20" s="69">
        <f t="shared" si="1"/>
        <v>0</v>
      </c>
      <c r="P20" s="66">
        <f t="shared" si="2"/>
        <v>0</v>
      </c>
      <c r="Q20" s="66">
        <f t="shared" si="9"/>
        <v>0</v>
      </c>
      <c r="R20" s="66" t="str">
        <f t="shared" si="10"/>
        <v/>
      </c>
      <c r="S20" s="66">
        <f t="shared" si="3"/>
        <v>0</v>
      </c>
      <c r="T20" s="66">
        <f t="shared" si="11"/>
        <v>0</v>
      </c>
      <c r="U20" s="66" t="str">
        <f t="shared" si="12"/>
        <v/>
      </c>
      <c r="V20" s="66">
        <f t="shared" si="4"/>
        <v>0</v>
      </c>
      <c r="W20" s="66">
        <f t="shared" si="5"/>
        <v>0</v>
      </c>
      <c r="X20" s="66">
        <f t="shared" si="6"/>
        <v>0</v>
      </c>
      <c r="Y20" s="66">
        <f t="shared" si="13"/>
        <v>0</v>
      </c>
      <c r="Z20" s="66">
        <f t="shared" si="14"/>
        <v>0</v>
      </c>
      <c r="AB20" s="24">
        <f t="shared" si="15"/>
        <v>0</v>
      </c>
      <c r="AC20" s="24">
        <f t="shared" si="16"/>
        <v>0</v>
      </c>
      <c r="AD20" s="24">
        <f t="shared" si="17"/>
        <v>0</v>
      </c>
      <c r="AE20" s="24">
        <f t="shared" si="18"/>
        <v>0</v>
      </c>
      <c r="AG20" s="24">
        <f t="shared" si="19"/>
        <v>0</v>
      </c>
      <c r="AH20" s="24">
        <f t="shared" si="20"/>
        <v>0</v>
      </c>
      <c r="AI20" s="24">
        <f t="shared" si="21"/>
        <v>0</v>
      </c>
      <c r="AJ20" s="24">
        <f t="shared" si="22"/>
        <v>0</v>
      </c>
    </row>
    <row r="21" spans="2:36" ht="16.5" thickBot="1">
      <c r="B21" s="75" t="s">
        <v>732</v>
      </c>
      <c r="C21" s="76">
        <f>SUM(C10:C20)</f>
        <v>80</v>
      </c>
      <c r="D21" s="76"/>
      <c r="K21" s="134">
        <f>SUM(K10:K20)</f>
        <v>25200000</v>
      </c>
      <c r="L21" s="134">
        <f>SUM(L10:L20)</f>
        <v>400000</v>
      </c>
      <c r="M21" s="135">
        <f>SUM(M10:M20)</f>
        <v>462.24666666666673</v>
      </c>
      <c r="N21" s="135">
        <f>SUM(N10:N20)</f>
        <v>22.873333333333335</v>
      </c>
      <c r="O21" s="136">
        <f t="shared" ref="O21:S21" si="24">SUM(O10:O20)</f>
        <v>58.88000000000001</v>
      </c>
      <c r="P21" s="137">
        <f t="shared" si="24"/>
        <v>412.50000000000011</v>
      </c>
      <c r="Q21" s="138"/>
      <c r="R21" s="137">
        <f>SUM(R10:R20)</f>
        <v>127.53623188405793</v>
      </c>
      <c r="S21" s="137">
        <f t="shared" si="24"/>
        <v>13.875000000000002</v>
      </c>
      <c r="T21" s="139"/>
      <c r="U21" s="137">
        <f t="shared" ref="U21:Z21" si="25">SUM(U10:U20)</f>
        <v>127.53623188405791</v>
      </c>
      <c r="V21" s="137">
        <f t="shared" si="25"/>
        <v>667.4</v>
      </c>
      <c r="W21" s="136">
        <f t="shared" si="25"/>
        <v>242.2</v>
      </c>
      <c r="X21" s="137">
        <f t="shared" si="25"/>
        <v>55.2</v>
      </c>
      <c r="Y21" s="137">
        <f t="shared" si="25"/>
        <v>36000</v>
      </c>
      <c r="Z21" s="137">
        <f t="shared" si="25"/>
        <v>12000</v>
      </c>
      <c r="AB21" s="140">
        <f>SUBTOTAL(109,J_MidSpan[jxx,i])</f>
        <v>21437352.996954829</v>
      </c>
      <c r="AC21" s="140">
        <f>SUBTOTAL(109,J_MidSpan[Jy,i])</f>
        <v>340275.44439610839</v>
      </c>
      <c r="AD21" s="140">
        <f>SUBTOTAL(109,A_MidSpan[AX])</f>
        <v>30624.789995649757</v>
      </c>
      <c r="AE21" s="140">
        <f>SUBTOTAL(109,A_MidSpan[AY])</f>
        <v>10208.263331883252</v>
      </c>
      <c r="AG21" s="140">
        <f>SUBTOTAL(109,J_Support[jxx,i])</f>
        <v>9240000</v>
      </c>
      <c r="AH21" s="140">
        <f>SUBTOTAL(109,J_Support[Jy,i])</f>
        <v>146666.66666666666</v>
      </c>
      <c r="AI21" s="140">
        <f>SUBTOTAL(109,A_Support[AX])</f>
        <v>13200</v>
      </c>
      <c r="AJ21" s="140">
        <f>SUBTOTAL(109,A_Support[AY])</f>
        <v>4400</v>
      </c>
    </row>
    <row r="22" spans="2:36" ht="18">
      <c r="B22" s="13" t="s">
        <v>733</v>
      </c>
      <c r="M22" s="77">
        <f>M21/N21</f>
        <v>20.208976974642962</v>
      </c>
      <c r="N22" s="77">
        <f>N21/M21</f>
        <v>4.9482960035767333E-2</v>
      </c>
      <c r="Q22" s="46"/>
      <c r="R22" s="78"/>
      <c r="U22" s="78"/>
      <c r="V22" s="13"/>
      <c r="X22" s="46"/>
      <c r="AB22" s="16"/>
      <c r="AC22" s="16"/>
      <c r="AD22" s="24"/>
      <c r="AE22" s="24"/>
      <c r="AG22" s="24"/>
      <c r="AH22" s="24"/>
      <c r="AI22" s="24"/>
      <c r="AJ22" s="24"/>
    </row>
    <row r="23" spans="2:36">
      <c r="P23" s="46">
        <f>P21/S21</f>
        <v>29.729729729729733</v>
      </c>
      <c r="AD23" s="16"/>
      <c r="AE23" s="16"/>
      <c r="AI23" s="24"/>
      <c r="AJ23" s="24"/>
    </row>
    <row r="29" spans="2:36">
      <c r="B29" s="52" t="s">
        <v>734</v>
      </c>
    </row>
    <row r="30" spans="2:36">
      <c r="B30" s="13" t="s">
        <v>735</v>
      </c>
      <c r="G30" s="13" t="s">
        <v>736</v>
      </c>
    </row>
    <row r="31" spans="2:36">
      <c r="B31" s="13" t="s">
        <v>737</v>
      </c>
      <c r="E31" s="13" t="s">
        <v>736</v>
      </c>
      <c r="G31" s="13" t="s">
        <v>738</v>
      </c>
    </row>
    <row r="32" spans="2:36">
      <c r="C32" s="79" t="s">
        <v>739</v>
      </c>
      <c r="D32" s="80"/>
      <c r="E32" s="80"/>
      <c r="F32" s="80"/>
      <c r="G32" s="80"/>
      <c r="H32" s="80"/>
      <c r="I32" s="80"/>
      <c r="J32" s="80"/>
      <c r="K32" s="81"/>
    </row>
    <row r="33" spans="2:11">
      <c r="C33" s="82" t="s">
        <v>740</v>
      </c>
      <c r="D33" s="82"/>
      <c r="E33" s="82"/>
      <c r="F33" s="82"/>
      <c r="G33" s="82"/>
      <c r="H33" s="83"/>
      <c r="I33" s="83"/>
      <c r="J33" s="83"/>
      <c r="K33" s="83"/>
    </row>
    <row r="34" spans="2:11" ht="18">
      <c r="B34" s="46" t="s">
        <v>741</v>
      </c>
      <c r="C34" s="84">
        <f>M21/1000</f>
        <v>0.46224666666666675</v>
      </c>
      <c r="D34" s="84"/>
      <c r="E34" s="85">
        <v>0</v>
      </c>
      <c r="F34" s="85">
        <v>0</v>
      </c>
      <c r="G34" s="85">
        <v>0</v>
      </c>
      <c r="H34" s="86">
        <v>0</v>
      </c>
      <c r="I34" s="86">
        <v>0</v>
      </c>
      <c r="J34" s="86">
        <v>0</v>
      </c>
      <c r="K34" s="86">
        <v>0</v>
      </c>
    </row>
    <row r="35" spans="2:11" ht="18">
      <c r="B35" s="46" t="s">
        <v>742</v>
      </c>
      <c r="C35" s="85">
        <v>0</v>
      </c>
      <c r="D35" s="85"/>
      <c r="E35" s="87">
        <f>N21/1000</f>
        <v>2.2873333333333336E-2</v>
      </c>
      <c r="F35" s="85">
        <v>0</v>
      </c>
      <c r="G35" s="85">
        <v>0</v>
      </c>
      <c r="H35" s="86">
        <v>0</v>
      </c>
      <c r="I35" s="86">
        <v>0</v>
      </c>
      <c r="J35" s="86">
        <v>0</v>
      </c>
      <c r="K35" s="86">
        <v>0</v>
      </c>
    </row>
    <row r="36" spans="2:11" ht="18.75" thickBot="1">
      <c r="B36" s="46" t="s">
        <v>743</v>
      </c>
      <c r="C36" s="85">
        <v>0</v>
      </c>
      <c r="D36" s="85"/>
      <c r="E36" s="85">
        <v>0</v>
      </c>
      <c r="F36" s="87">
        <f>IF(E31="JA",O21/1000,0)</f>
        <v>5.8880000000000009E-2</v>
      </c>
      <c r="G36" s="88">
        <v>0</v>
      </c>
      <c r="H36" s="86">
        <v>0</v>
      </c>
      <c r="I36" s="86">
        <v>0</v>
      </c>
      <c r="J36" s="86">
        <v>0</v>
      </c>
      <c r="K36" s="86">
        <v>0</v>
      </c>
    </row>
    <row r="37" spans="2:11" ht="18.75" thickBot="1">
      <c r="B37" s="46" t="s">
        <v>744</v>
      </c>
      <c r="C37" s="85">
        <v>0</v>
      </c>
      <c r="D37" s="85"/>
      <c r="E37" s="85">
        <v>0</v>
      </c>
      <c r="F37" s="89">
        <v>0</v>
      </c>
      <c r="G37" s="90">
        <f>1/R21*1000</f>
        <v>7.8409090909090926</v>
      </c>
      <c r="H37" s="91">
        <v>0</v>
      </c>
      <c r="I37" s="86">
        <v>0</v>
      </c>
      <c r="J37" s="86">
        <v>0</v>
      </c>
      <c r="K37" s="86">
        <v>0</v>
      </c>
    </row>
    <row r="38" spans="2:11" ht="18.75" thickBot="1">
      <c r="B38" s="46" t="s">
        <v>745</v>
      </c>
      <c r="C38" s="86">
        <v>0</v>
      </c>
      <c r="D38" s="86"/>
      <c r="E38" s="86">
        <v>0</v>
      </c>
      <c r="F38" s="86">
        <v>0</v>
      </c>
      <c r="G38" s="92">
        <v>0</v>
      </c>
      <c r="H38" s="93">
        <f>1/U21*1000</f>
        <v>7.8409090909090944</v>
      </c>
      <c r="I38" s="94">
        <v>0</v>
      </c>
      <c r="J38" s="86">
        <v>0</v>
      </c>
      <c r="K38" s="86">
        <v>0</v>
      </c>
    </row>
    <row r="39" spans="2:11" ht="18">
      <c r="B39" s="46" t="s">
        <v>746</v>
      </c>
      <c r="C39" s="86">
        <v>0</v>
      </c>
      <c r="D39" s="86"/>
      <c r="E39" s="86">
        <v>0</v>
      </c>
      <c r="F39" s="86">
        <v>0</v>
      </c>
      <c r="G39" s="86">
        <v>0</v>
      </c>
      <c r="H39" s="95">
        <v>0</v>
      </c>
      <c r="I39" s="96">
        <f>V21</f>
        <v>667.4</v>
      </c>
      <c r="J39" s="86">
        <v>0</v>
      </c>
      <c r="K39" s="86">
        <v>0</v>
      </c>
    </row>
    <row r="40" spans="2:11" ht="18">
      <c r="B40" s="46" t="s">
        <v>747</v>
      </c>
      <c r="C40" s="86">
        <v>0</v>
      </c>
      <c r="D40" s="86"/>
      <c r="E40" s="86">
        <v>0</v>
      </c>
      <c r="F40" s="86">
        <v>0</v>
      </c>
      <c r="G40" s="86">
        <v>0</v>
      </c>
      <c r="H40" s="86">
        <v>0</v>
      </c>
      <c r="I40" s="86">
        <v>0</v>
      </c>
      <c r="J40" s="96">
        <f>W21</f>
        <v>242.2</v>
      </c>
      <c r="K40" s="86">
        <v>0</v>
      </c>
    </row>
    <row r="41" spans="2:11" ht="18">
      <c r="B41" s="46" t="s">
        <v>748</v>
      </c>
      <c r="C41" s="86">
        <v>0</v>
      </c>
      <c r="D41" s="86"/>
      <c r="E41" s="86">
        <v>0</v>
      </c>
      <c r="F41" s="86">
        <v>0</v>
      </c>
      <c r="G41" s="86">
        <v>0</v>
      </c>
      <c r="H41" s="86">
        <v>0</v>
      </c>
      <c r="I41" s="86">
        <v>0</v>
      </c>
      <c r="J41" s="86">
        <v>0</v>
      </c>
      <c r="K41" s="96">
        <f>IF(E31="JA",X21,0.25*X21)</f>
        <v>55.2</v>
      </c>
    </row>
    <row r="43" spans="2:11">
      <c r="B43" s="97" t="s">
        <v>749</v>
      </c>
    </row>
  </sheetData>
  <mergeCells count="24">
    <mergeCell ref="Y7:Z7"/>
    <mergeCell ref="Y8:Z8"/>
    <mergeCell ref="S7:U7"/>
    <mergeCell ref="V7:W7"/>
    <mergeCell ref="B8:B9"/>
    <mergeCell ref="M8:N8"/>
    <mergeCell ref="P8:R8"/>
    <mergeCell ref="S8:U8"/>
    <mergeCell ref="V8:W8"/>
    <mergeCell ref="K7:L7"/>
    <mergeCell ref="K8:L8"/>
    <mergeCell ref="B7:J7"/>
    <mergeCell ref="M7:N7"/>
    <mergeCell ref="P7:R7"/>
    <mergeCell ref="AG8:AH8"/>
    <mergeCell ref="AI8:AJ8"/>
    <mergeCell ref="AB5:AE5"/>
    <mergeCell ref="AG5:AJ5"/>
    <mergeCell ref="AG7:AH7"/>
    <mergeCell ref="AI7:AJ7"/>
    <mergeCell ref="AB7:AC7"/>
    <mergeCell ref="AD7:AE7"/>
    <mergeCell ref="AB8:AC8"/>
    <mergeCell ref="AD8:AE8"/>
  </mergeCells>
  <dataValidations disablePrompts="1" count="1">
    <dataValidation type="list" allowBlank="1" showInputMessage="1" showErrorMessage="1" sqref="E31" xr:uid="{109FD88B-4806-4A9D-9894-69124B17AADD}">
      <formula1>G30:G31</formula1>
    </dataValidation>
  </dataValidations>
  <pageMargins left="0.7" right="0.7" top="0.78740157499999996" bottom="0.78740157499999996" header="0.3" footer="0.3"/>
  <pageSetup orientation="portrait"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59F84-6B3D-4806-9F41-87D9DFB0343E}">
  <sheetPr codeName="shSharpMetal"/>
  <dimension ref="B2:J14"/>
  <sheetViews>
    <sheetView workbookViewId="0">
      <selection activeCell="H24" sqref="H24"/>
    </sheetView>
  </sheetViews>
  <sheetFormatPr defaultColWidth="8.85546875" defaultRowHeight="15"/>
  <cols>
    <col min="1" max="1" width="2.85546875" style="16" customWidth="1"/>
    <col min="2" max="2" width="7.42578125" style="25" customWidth="1"/>
    <col min="3" max="3" width="20" style="16" customWidth="1"/>
    <col min="4" max="5" width="8.85546875" style="16"/>
    <col min="6" max="6" width="7.42578125" style="25" customWidth="1"/>
    <col min="7" max="7" width="20" style="16" customWidth="1"/>
    <col min="8" max="8" width="8.85546875" style="16"/>
    <col min="9" max="9" width="5.5703125" style="16" customWidth="1"/>
    <col min="10" max="16384" width="8.85546875" style="16"/>
  </cols>
  <sheetData>
    <row r="2" spans="2:10" ht="16.5" thickBot="1">
      <c r="B2" s="245" t="s">
        <v>456</v>
      </c>
      <c r="C2" s="245"/>
      <c r="D2" s="245"/>
      <c r="F2" s="245" t="s">
        <v>327</v>
      </c>
      <c r="G2" s="245"/>
      <c r="H2" s="245"/>
      <c r="J2" s="16" t="s">
        <v>750</v>
      </c>
    </row>
    <row r="3" spans="2:10" ht="15.75" thickTop="1"/>
    <row r="4" spans="2:10" ht="30">
      <c r="B4" s="15" t="s">
        <v>751</v>
      </c>
      <c r="C4" s="23" t="str">
        <f>Input!C41</f>
        <v>SHARP METAL + TBS MAX@a ≤ 100mm</v>
      </c>
      <c r="F4" s="15" t="s">
        <v>752</v>
      </c>
      <c r="G4" s="23" t="str">
        <f>Input!I41</f>
        <v>SHARP METAL + TBS MAX@a ≤ 100mm</v>
      </c>
    </row>
    <row r="5" spans="2:10">
      <c r="B5" s="25" t="s">
        <v>587</v>
      </c>
      <c r="C5" s="16">
        <v>50</v>
      </c>
      <c r="D5" s="16" t="s">
        <v>559</v>
      </c>
      <c r="F5" s="25" t="s">
        <v>587</v>
      </c>
      <c r="G5" s="16">
        <v>50</v>
      </c>
      <c r="H5" s="25" t="s">
        <v>559</v>
      </c>
    </row>
    <row r="6" spans="2:10">
      <c r="B6" s="25" t="s">
        <v>753</v>
      </c>
      <c r="C6" s="16">
        <f>Input!$E$43</f>
        <v>2</v>
      </c>
      <c r="F6" s="25" t="s">
        <v>753</v>
      </c>
      <c r="G6" s="16">
        <f>Input!$K$43</f>
        <v>1</v>
      </c>
      <c r="H6" s="25"/>
    </row>
    <row r="7" spans="2:10">
      <c r="B7" s="25" t="s">
        <v>754</v>
      </c>
      <c r="C7" s="16">
        <f>MIN(0.9*1000,1000-10)</f>
        <v>900</v>
      </c>
      <c r="D7" s="16" t="s">
        <v>559</v>
      </c>
      <c r="F7" s="25" t="s">
        <v>754</v>
      </c>
      <c r="G7" s="16">
        <f>MIN(0.9*1000,1000-10)</f>
        <v>900</v>
      </c>
      <c r="H7" s="25" t="s">
        <v>559</v>
      </c>
    </row>
    <row r="8" spans="2:10">
      <c r="B8" s="25" t="s">
        <v>755</v>
      </c>
      <c r="C8" s="16">
        <f>IF(C4=RefText_DB!$B$9,1.76,IF(C4=RefText_DB!$B$10,3.05,IF(C4=RefText_DB!$B$11,2.47,"errore")))</f>
        <v>3.05</v>
      </c>
      <c r="D8" s="16" t="s">
        <v>756</v>
      </c>
      <c r="F8" s="25" t="s">
        <v>755</v>
      </c>
      <c r="G8" s="16">
        <f>IF(G4=RefText_DB!$B$9,1.76,IF(G4=RefText_DB!$B$10,3.05,IF(G4=RefText_DB!$B$11,2.47,"errore")))</f>
        <v>3.05</v>
      </c>
      <c r="H8" s="25" t="s">
        <v>756</v>
      </c>
    </row>
    <row r="9" spans="2:10">
      <c r="B9" s="25" t="s">
        <v>757</v>
      </c>
      <c r="C9" s="16">
        <f>C8*C7*C6*C5</f>
        <v>274500</v>
      </c>
      <c r="D9" s="16" t="s">
        <v>758</v>
      </c>
      <c r="F9" s="25" t="s">
        <v>757</v>
      </c>
      <c r="G9" s="16">
        <f>G8*G7*G6*G5</f>
        <v>137250</v>
      </c>
      <c r="H9" s="25" t="s">
        <v>758</v>
      </c>
    </row>
    <row r="10" spans="2:10">
      <c r="H10" s="25"/>
    </row>
    <row r="11" spans="2:10">
      <c r="B11" s="25" t="s">
        <v>759</v>
      </c>
      <c r="C11" s="16">
        <f>IF(C4=RefText_DB!$B$9,0.81,IF(C4=RefText_DB!$B$10,1.72,IF(C4=RefText_DB!$B$11,1.02,"ERRORE")))</f>
        <v>1.72</v>
      </c>
      <c r="D11" s="16" t="s">
        <v>760</v>
      </c>
      <c r="F11" s="25" t="s">
        <v>759</v>
      </c>
      <c r="G11" s="16">
        <f>IF(G4=RefText_DB!$B$9,0.81,IF(G4=RefText_DB!$B$10,1.72,IF(G4=RefText_DB!$B$11,1.02,"ERRORE")))</f>
        <v>1.72</v>
      </c>
      <c r="H11" s="25" t="s">
        <v>760</v>
      </c>
    </row>
    <row r="12" spans="2:10">
      <c r="B12" s="26" t="s">
        <v>761</v>
      </c>
      <c r="C12" s="16">
        <v>385</v>
      </c>
      <c r="D12" s="16" t="s">
        <v>762</v>
      </c>
      <c r="F12" s="26" t="s">
        <v>761</v>
      </c>
      <c r="G12" s="16">
        <v>385</v>
      </c>
      <c r="H12" s="25" t="s">
        <v>762</v>
      </c>
    </row>
    <row r="13" spans="2:10">
      <c r="B13" s="26" t="s">
        <v>763</v>
      </c>
      <c r="C13" s="16">
        <f>MIN('Calculation Report'!C85,'Calculation Report'!C107)</f>
        <v>350</v>
      </c>
      <c r="D13" s="16" t="s">
        <v>762</v>
      </c>
      <c r="F13" s="26" t="s">
        <v>763</v>
      </c>
      <c r="G13" s="16">
        <f>MIN('Calculation Report'!C85,'Calculation Report'!C107)</f>
        <v>350</v>
      </c>
      <c r="H13" s="25" t="s">
        <v>762</v>
      </c>
    </row>
    <row r="14" spans="2:10">
      <c r="B14" s="25" t="s">
        <v>764</v>
      </c>
      <c r="C14" s="24">
        <f>C5*C6*C7*C11*(C13/C12)^0.5</f>
        <v>147596.0088152177</v>
      </c>
      <c r="D14" s="16" t="s">
        <v>642</v>
      </c>
      <c r="F14" s="25" t="s">
        <v>764</v>
      </c>
      <c r="G14" s="24">
        <f>G5*G6*G7*G11*(G13/G12)^0.5</f>
        <v>73798.004407608852</v>
      </c>
      <c r="H14" s="25" t="s">
        <v>642</v>
      </c>
    </row>
  </sheetData>
  <mergeCells count="2">
    <mergeCell ref="B2:D2"/>
    <mergeCell ref="F2:H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621A-8084-4A77-B5C0-503CF69576C8}">
  <sheetPr codeName="shCLTpanels"/>
  <dimension ref="A1:XFC57"/>
  <sheetViews>
    <sheetView zoomScale="115" zoomScaleNormal="115" workbookViewId="0">
      <pane ySplit="3" topLeftCell="A4" activePane="bottomLeft" state="frozen"/>
      <selection pane="bottomLeft" activeCell="N5" sqref="N5"/>
      <selection activeCell="J3" sqref="J3"/>
    </sheetView>
  </sheetViews>
  <sheetFormatPr defaultColWidth="0" defaultRowHeight="12.75" zeroHeight="1"/>
  <cols>
    <col min="1" max="1" width="2.42578125" style="3" customWidth="1"/>
    <col min="2" max="2" width="5.85546875" style="3" customWidth="1"/>
    <col min="3" max="3" width="15.5703125" style="3" bestFit="1" customWidth="1"/>
    <col min="4" max="4" width="4.42578125" style="3" bestFit="1" customWidth="1"/>
    <col min="5" max="5" width="8.85546875" style="3" bestFit="1" customWidth="1"/>
    <col min="6" max="6" width="33.5703125" style="3" customWidth="1"/>
    <col min="7" max="7" width="5.42578125" style="3" bestFit="1" customWidth="1"/>
    <col min="8" max="12" width="4.28515625" style="3" bestFit="1" customWidth="1"/>
    <col min="13" max="16" width="4.85546875" style="3" bestFit="1" customWidth="1"/>
    <col min="17" max="17" width="5.85546875" style="3" bestFit="1" customWidth="1"/>
    <col min="18" max="18" width="2" style="3" customWidth="1"/>
    <col min="19" max="19" width="19.28515625" style="3" bestFit="1" customWidth="1"/>
    <col min="20" max="22" width="10.7109375" style="3" hidden="1"/>
    <col min="23" max="16383" width="9.140625" style="3" hidden="1"/>
    <col min="16384" max="16384" width="5" style="3" hidden="1"/>
  </cols>
  <sheetData>
    <row r="1" spans="2:19" ht="3.75" customHeight="1"/>
    <row r="2" spans="2:19" ht="15.75">
      <c r="B2" s="4" t="s">
        <v>765</v>
      </c>
    </row>
    <row r="3" spans="2:19" ht="15">
      <c r="C3" t="s">
        <v>766</v>
      </c>
      <c r="D3" t="s">
        <v>732</v>
      </c>
      <c r="E3" t="s">
        <v>767</v>
      </c>
      <c r="F3" t="s">
        <v>768</v>
      </c>
      <c r="G3" t="s">
        <v>769</v>
      </c>
      <c r="H3" t="s">
        <v>770</v>
      </c>
      <c r="I3" t="s">
        <v>771</v>
      </c>
      <c r="J3" t="s">
        <v>772</v>
      </c>
      <c r="K3" t="s">
        <v>773</v>
      </c>
      <c r="L3" t="s">
        <v>774</v>
      </c>
      <c r="M3" t="s">
        <v>775</v>
      </c>
      <c r="N3" t="s">
        <v>776</v>
      </c>
      <c r="O3" t="s">
        <v>777</v>
      </c>
      <c r="P3" t="s">
        <v>778</v>
      </c>
      <c r="Q3" t="s">
        <v>779</v>
      </c>
      <c r="R3" s="6"/>
      <c r="S3" s="6"/>
    </row>
    <row r="4" spans="2:19" ht="15">
      <c r="C4" t="s">
        <v>780</v>
      </c>
      <c r="D4">
        <f>SUM(CLT[[#This Row],[9]:[9'']])</f>
        <v>60</v>
      </c>
      <c r="E4">
        <f>COUNT(CLT[[#This Row],[9]:[9'']])</f>
        <v>3</v>
      </c>
      <c r="F4" t="str">
        <f>_xlfn.CONCAT(D4, "mm-",CLT[[#This Row],[Layers]],"s", "-",H4," ",I4," ",J4," ",K4," ",L4," ",M4," ",N4," ",O4," ",P4)</f>
        <v xml:space="preserve">60mm-3s-   20 20 20   </v>
      </c>
      <c r="G4"/>
      <c r="H4"/>
      <c r="I4"/>
      <c r="J4"/>
      <c r="K4">
        <v>20</v>
      </c>
      <c r="L4">
        <v>20</v>
      </c>
      <c r="M4">
        <f>IF(ISBLANK(CLT[[#This Row],[3]]),"",CLT[[#This Row],[3]])</f>
        <v>20</v>
      </c>
      <c r="N4" t="str">
        <f>IF(ISBLANK(CLT[[#This Row],[5]]),"",CLT[[#This Row],[5]])</f>
        <v/>
      </c>
      <c r="O4" t="str">
        <f>IF(ISBLANK(CLT[[#This Row],[7]]),"",CLT[[#This Row],[7]])</f>
        <v/>
      </c>
      <c r="P4" t="str">
        <f>IF(ISBLANK(CLT[[#This Row],[9]]),"",CLT[[#This Row],[9]])</f>
        <v/>
      </c>
      <c r="Q4"/>
    </row>
    <row r="5" spans="2:19" ht="15">
      <c r="C5" t="s">
        <v>780</v>
      </c>
      <c r="D5">
        <f>SUM(CLT[[#This Row],[9]:[9'']])</f>
        <v>80</v>
      </c>
      <c r="E5">
        <f>COUNT(CLT[[#This Row],[9]:[9'']])</f>
        <v>3</v>
      </c>
      <c r="F5" t="str">
        <f>_xlfn.CONCAT(D5, "mm-",CLT[[#This Row],[Layers]],"s", "-",H5," ",I5," ",J5," ",K5," ",L5," ",M5," ",N5," ",O5," ",P5)</f>
        <v xml:space="preserve">80mm-3s-   20 40 20   </v>
      </c>
      <c r="G5"/>
      <c r="H5"/>
      <c r="I5"/>
      <c r="J5"/>
      <c r="K5">
        <v>20</v>
      </c>
      <c r="L5">
        <v>40</v>
      </c>
      <c r="M5">
        <f>CLT[[#This Row],[3]]</f>
        <v>20</v>
      </c>
      <c r="N5" t="str">
        <f>IF(ISBLANK(CLT[[#This Row],[5]]),"",CLT[[#This Row],[5]])</f>
        <v/>
      </c>
      <c r="O5" t="str">
        <f>IF(ISBLANK(CLT[[#This Row],[7]]),"",CLT[[#This Row],[7]])</f>
        <v/>
      </c>
      <c r="P5" t="str">
        <f>IF(ISBLANK(CLT[[#This Row],[9]]),"",CLT[[#This Row],[9]])</f>
        <v/>
      </c>
      <c r="Q5"/>
    </row>
    <row r="6" spans="2:19" ht="16.5">
      <c r="C6" t="s">
        <v>781</v>
      </c>
      <c r="D6">
        <f>SUM(CLT[[#This Row],[9]:[9'']])</f>
        <v>80</v>
      </c>
      <c r="E6">
        <f>COUNT(CLT[[#This Row],[9]:[9'']])</f>
        <v>3</v>
      </c>
      <c r="F6" t="str">
        <f>_xlfn.CONCAT(D6, "mm-",CLT[[#This Row],[Layers]],"s", "-",H6," ",I6," ",J6," ",K6," ",L6," ",M6," ",N6," ",O6," ",P6)</f>
        <v xml:space="preserve">80mm-3s-   30 20 30   </v>
      </c>
      <c r="G6"/>
      <c r="H6"/>
      <c r="I6"/>
      <c r="J6"/>
      <c r="K6">
        <v>30</v>
      </c>
      <c r="L6">
        <v>20</v>
      </c>
      <c r="M6">
        <f>CLT[[#This Row],[3]]</f>
        <v>30</v>
      </c>
      <c r="N6" t="str">
        <f>IF(ISBLANK(CLT[[#This Row],[5]]),"",CLT[[#This Row],[5]])</f>
        <v/>
      </c>
      <c r="O6" t="str">
        <f>IF(ISBLANK(CLT[[#This Row],[7]]),"",CLT[[#This Row],[7]])</f>
        <v/>
      </c>
      <c r="P6" t="str">
        <f>IF(ISBLANK(CLT[[#This Row],[9]]),"",CLT[[#This Row],[9]])</f>
        <v/>
      </c>
      <c r="Q6"/>
      <c r="R6" s="12"/>
    </row>
    <row r="7" spans="2:19" ht="15">
      <c r="C7" t="s">
        <v>780</v>
      </c>
      <c r="D7">
        <f>SUM(CLT[[#This Row],[9]:[9'']])</f>
        <v>90</v>
      </c>
      <c r="E7">
        <f>COUNT(CLT[[#This Row],[9]:[9'']])</f>
        <v>3</v>
      </c>
      <c r="F7" t="str">
        <f>_xlfn.CONCAT(D7, "mm-",CLT[[#This Row],[Layers]],"s", "-",H7," ",I7," ",J7," ",K7," ",L7," ",M7," ",N7," ",O7," ",P7)</f>
        <v xml:space="preserve">90mm-3s-   30 30 30   </v>
      </c>
      <c r="G7"/>
      <c r="H7"/>
      <c r="I7"/>
      <c r="J7"/>
      <c r="K7">
        <v>30</v>
      </c>
      <c r="L7">
        <v>30</v>
      </c>
      <c r="M7">
        <f>CLT[[#This Row],[3]]</f>
        <v>30</v>
      </c>
      <c r="N7" t="str">
        <f>IF(ISBLANK(CLT[[#This Row],[5]]),"",CLT[[#This Row],[5]])</f>
        <v/>
      </c>
      <c r="O7" t="str">
        <f>IF(ISBLANK(CLT[[#This Row],[7]]),"",CLT[[#This Row],[7]])</f>
        <v/>
      </c>
      <c r="P7" t="str">
        <f>IF(ISBLANK(CLT[[#This Row],[9]]),"",CLT[[#This Row],[9]])</f>
        <v/>
      </c>
      <c r="Q7"/>
    </row>
    <row r="8" spans="2:19" ht="15">
      <c r="C8" t="s">
        <v>780</v>
      </c>
      <c r="D8">
        <f>SUM(CLT[[#This Row],[9]:[9'']])</f>
        <v>100</v>
      </c>
      <c r="E8">
        <f>COUNT(CLT[[#This Row],[9]:[9'']])</f>
        <v>3</v>
      </c>
      <c r="F8" t="str">
        <f>_xlfn.CONCAT(D8, "mm-",CLT[[#This Row],[Layers]],"s", "-",H8," ",I8," ",J8," ",K8," ",L8," ",M8," ",N8," ",O8," ",P8)</f>
        <v xml:space="preserve">100mm-3s-   30 40 30   </v>
      </c>
      <c r="G8"/>
      <c r="H8"/>
      <c r="I8"/>
      <c r="J8"/>
      <c r="K8">
        <v>30</v>
      </c>
      <c r="L8">
        <v>40</v>
      </c>
      <c r="M8">
        <f>CLT[[#This Row],[3]]</f>
        <v>30</v>
      </c>
      <c r="N8" t="str">
        <f>IF(ISBLANK(CLT[[#This Row],[5]]),"",CLT[[#This Row],[5]])</f>
        <v/>
      </c>
      <c r="O8" t="str">
        <f>IF(ISBLANK(CLT[[#This Row],[7]]),"",CLT[[#This Row],[7]])</f>
        <v/>
      </c>
      <c r="P8" t="str">
        <f>IF(ISBLANK(CLT[[#This Row],[9]]),"",CLT[[#This Row],[9]])</f>
        <v/>
      </c>
      <c r="Q8"/>
      <c r="S8" s="3" t="s">
        <v>782</v>
      </c>
    </row>
    <row r="9" spans="2:19" ht="15">
      <c r="C9" t="s">
        <v>780</v>
      </c>
      <c r="D9">
        <f>SUM(CLT[[#This Row],[9]:[9'']])</f>
        <v>120</v>
      </c>
      <c r="E9">
        <f>COUNT(CLT[[#This Row],[9]:[9'']])</f>
        <v>3</v>
      </c>
      <c r="F9" t="str">
        <f>_xlfn.CONCAT(D9, "mm-",CLT[[#This Row],[Layers]],"s", "-",H9," ",I9," ",J9," ",K9," ",L9," ",M9," ",N9," ",O9," ",P9)</f>
        <v xml:space="preserve">120mm-3s-   40 40 40   </v>
      </c>
      <c r="G9"/>
      <c r="H9"/>
      <c r="I9"/>
      <c r="J9"/>
      <c r="K9">
        <v>40</v>
      </c>
      <c r="L9">
        <v>40</v>
      </c>
      <c r="M9">
        <f>CLT[[#This Row],[3]]</f>
        <v>40</v>
      </c>
      <c r="N9" t="str">
        <f>IF(ISBLANK(CLT[[#This Row],[5]]),"",CLT[[#This Row],[5]])</f>
        <v/>
      </c>
      <c r="O9" t="str">
        <f>IF(ISBLANK(CLT[[#This Row],[7]]),"",CLT[[#This Row],[7]])</f>
        <v/>
      </c>
      <c r="P9" t="str">
        <f>IF(ISBLANK(CLT[[#This Row],[9]]),"",CLT[[#This Row],[9]])</f>
        <v/>
      </c>
      <c r="Q9"/>
      <c r="S9" s="3" t="s">
        <v>782</v>
      </c>
    </row>
    <row r="10" spans="2:19" ht="15">
      <c r="C10" t="s">
        <v>780</v>
      </c>
      <c r="D10">
        <f>SUM(CLT[[#This Row],[9]:[9'']])</f>
        <v>100</v>
      </c>
      <c r="E10">
        <f>COUNT(CLT[[#This Row],[9]:[9'']])</f>
        <v>5</v>
      </c>
      <c r="F10" t="str">
        <f>_xlfn.CONCAT(D10, "mm-",CLT[[#This Row],[Layers]],"s", "-",H10," ",I10," ",J10," ",K10," ",L10," ",M10," ",N10," ",O10," ",P10)</f>
        <v xml:space="preserve">100mm-5s-  20 20 20 20 20  </v>
      </c>
      <c r="G10"/>
      <c r="H10"/>
      <c r="I10"/>
      <c r="J10">
        <v>20</v>
      </c>
      <c r="K10">
        <v>20</v>
      </c>
      <c r="L10">
        <v>20</v>
      </c>
      <c r="M10">
        <f>CLT[[#This Row],[3]]</f>
        <v>20</v>
      </c>
      <c r="N10">
        <f>IF(ISBLANK(CLT[[#This Row],[5]]),"",CLT[[#This Row],[5]])</f>
        <v>20</v>
      </c>
      <c r="O10" t="str">
        <f>IF(ISBLANK(CLT[[#This Row],[7]]),"",CLT[[#This Row],[7]])</f>
        <v/>
      </c>
      <c r="P10" t="str">
        <f>IF(ISBLANK(CLT[[#This Row],[9]]),"",CLT[[#This Row],[9]])</f>
        <v/>
      </c>
      <c r="Q10"/>
    </row>
    <row r="11" spans="2:19" ht="15">
      <c r="C11" t="s">
        <v>780</v>
      </c>
      <c r="D11">
        <f>SUM(CLT[[#This Row],[9]:[9'']])</f>
        <v>120</v>
      </c>
      <c r="E11">
        <f>COUNT(CLT[[#This Row],[9]:[9'']])</f>
        <v>5</v>
      </c>
      <c r="F11" t="str">
        <f>_xlfn.CONCAT(D11, "mm-",CLT[[#This Row],[Layers]],"s", "-",H11," ",I11," ",J11," ",K11," ",L11," ",M11," ",N11," ",O11," ",P11)</f>
        <v xml:space="preserve">120mm-5s-  30 20 20 20 30  </v>
      </c>
      <c r="G11"/>
      <c r="H11"/>
      <c r="I11"/>
      <c r="J11">
        <v>30</v>
      </c>
      <c r="K11">
        <v>20</v>
      </c>
      <c r="L11">
        <v>20</v>
      </c>
      <c r="M11">
        <f>CLT[[#This Row],[3]]</f>
        <v>20</v>
      </c>
      <c r="N11">
        <f>IF(ISBLANK(CLT[[#This Row],[5]]),"",CLT[[#This Row],[5]])</f>
        <v>30</v>
      </c>
      <c r="O11" t="str">
        <f>IF(ISBLANK(CLT[[#This Row],[7]]),"",CLT[[#This Row],[7]])</f>
        <v/>
      </c>
      <c r="P11" t="str">
        <f>IF(ISBLANK(CLT[[#This Row],[9]]),"",CLT[[#This Row],[9]])</f>
        <v/>
      </c>
      <c r="Q11"/>
    </row>
    <row r="12" spans="2:19" ht="15">
      <c r="C12" t="s">
        <v>780</v>
      </c>
      <c r="D12">
        <f>SUM(CLT[[#This Row],[9]:[9'']])</f>
        <v>140</v>
      </c>
      <c r="E12">
        <f>COUNT(CLT[[#This Row],[9]:[9'']])</f>
        <v>5</v>
      </c>
      <c r="F12" t="str">
        <f>_xlfn.CONCAT(D12, "mm-",CLT[[#This Row],[Layers]],"s", "-",H12," ",I12," ",J12," ",K12," ",L12," ",M12," ",N12," ",O12," ",P12)</f>
        <v xml:space="preserve">140mm-5s-  40 20 20 20 40  </v>
      </c>
      <c r="G12"/>
      <c r="H12"/>
      <c r="I12"/>
      <c r="J12">
        <v>40</v>
      </c>
      <c r="K12">
        <v>20</v>
      </c>
      <c r="L12">
        <v>20</v>
      </c>
      <c r="M12">
        <f>CLT[[#This Row],[3]]</f>
        <v>20</v>
      </c>
      <c r="N12">
        <f>IF(ISBLANK(CLT[[#This Row],[5]]),"",CLT[[#This Row],[5]])</f>
        <v>40</v>
      </c>
      <c r="O12" t="str">
        <f>IF(ISBLANK(CLT[[#This Row],[7]]),"",CLT[[#This Row],[7]])</f>
        <v/>
      </c>
      <c r="P12" t="str">
        <f>IF(ISBLANK(CLT[[#This Row],[9]]),"",CLT[[#This Row],[9]])</f>
        <v/>
      </c>
      <c r="Q12"/>
    </row>
    <row r="13" spans="2:19" ht="15">
      <c r="C13" t="s">
        <v>783</v>
      </c>
      <c r="D13">
        <f>SUM(CLT[[#This Row],[9]:[9'']])</f>
        <v>160</v>
      </c>
      <c r="E13">
        <f>COUNT(CLT[[#This Row],[9]:[9'']])</f>
        <v>5</v>
      </c>
      <c r="F13" t="str">
        <f>_xlfn.CONCAT(D13, "mm-",CLT[[#This Row],[Layers]],"s", "-",H13," ",I13," ",J13," ",K13," ",L13," ",M13," ",N13," ",O13," ",P13)</f>
        <v xml:space="preserve">160mm-5s-  40 20 40 20 40  </v>
      </c>
      <c r="G13"/>
      <c r="H13"/>
      <c r="I13"/>
      <c r="J13">
        <v>40</v>
      </c>
      <c r="K13">
        <v>20</v>
      </c>
      <c r="L13">
        <v>40</v>
      </c>
      <c r="M13">
        <f>CLT[[#This Row],[3]]</f>
        <v>20</v>
      </c>
      <c r="N13">
        <f>IF(ISBLANK(CLT[[#This Row],[5]]),"",CLT[[#This Row],[5]])</f>
        <v>40</v>
      </c>
      <c r="O13" t="str">
        <f>IF(ISBLANK(CLT[[#This Row],[7]]),"",CLT[[#This Row],[7]])</f>
        <v/>
      </c>
      <c r="P13" t="str">
        <f>IF(ISBLANK(CLT[[#This Row],[9]]),"",CLT[[#This Row],[9]])</f>
        <v/>
      </c>
      <c r="Q13"/>
      <c r="S13" s="3" t="str">
        <f t="shared" ref="S13:S47" si="0">_xlfn.CONCAT(H13,,I13,J13,K13,L13,M13,N13,O13,P13,R13)</f>
        <v>4020402040</v>
      </c>
    </row>
    <row r="14" spans="2:19" ht="15">
      <c r="C14" t="s">
        <v>784</v>
      </c>
      <c r="D14">
        <f>SUM(CLT[[#This Row],[9]:[9'']])</f>
        <v>160</v>
      </c>
      <c r="E14">
        <f>COUNT(CLT[[#This Row],[9]:[9'']])</f>
        <v>5</v>
      </c>
      <c r="F14" t="str">
        <f>_xlfn.CONCAT(D14, "mm-",CLT[[#This Row],[Layers]],"s", "-",H14," ",I14," ",J14," ",K14," ",L14," ",M14," ",N14," ",O14," ",P14)</f>
        <v xml:space="preserve">160mm-5s-  30 30 40 30 30  </v>
      </c>
      <c r="G14"/>
      <c r="H14"/>
      <c r="I14"/>
      <c r="J14">
        <v>30</v>
      </c>
      <c r="K14">
        <v>30</v>
      </c>
      <c r="L14">
        <v>40</v>
      </c>
      <c r="M14">
        <f>CLT[[#This Row],[3]]</f>
        <v>30</v>
      </c>
      <c r="N14">
        <f>IF(ISBLANK(CLT[[#This Row],[5]]),"",CLT[[#This Row],[5]])</f>
        <v>30</v>
      </c>
      <c r="O14" t="str">
        <f>IF(ISBLANK(CLT[[#This Row],[7]]),"",CLT[[#This Row],[7]])</f>
        <v/>
      </c>
      <c r="P14" t="str">
        <f>IF(ISBLANK(CLT[[#This Row],[9]]),"",CLT[[#This Row],[9]])</f>
        <v/>
      </c>
      <c r="Q14"/>
      <c r="S14" s="3" t="str">
        <f t="shared" si="0"/>
        <v>3030403030</v>
      </c>
    </row>
    <row r="15" spans="2:19" ht="15">
      <c r="C15" t="s">
        <v>785</v>
      </c>
      <c r="D15">
        <f>SUM(CLT[[#This Row],[9]:[9'']])</f>
        <v>170</v>
      </c>
      <c r="E15">
        <f>COUNT(CLT[[#This Row],[9]:[9'']])</f>
        <v>5</v>
      </c>
      <c r="F15" t="str">
        <f>_xlfn.CONCAT(D15, "mm-",CLT[[#This Row],[Layers]],"s", "-",H15," ",I15," ",J15," ",K15," ",L15," ",M15," ",N15," ",O15," ",P15)</f>
        <v xml:space="preserve">170mm-5s-  40 30 30 30 40  </v>
      </c>
      <c r="G15"/>
      <c r="H15"/>
      <c r="I15"/>
      <c r="J15">
        <v>40</v>
      </c>
      <c r="K15">
        <v>30</v>
      </c>
      <c r="L15">
        <v>30</v>
      </c>
      <c r="M15">
        <f>CLT[[#This Row],[3]]</f>
        <v>30</v>
      </c>
      <c r="N15">
        <f>IF(ISBLANK(CLT[[#This Row],[5]]),"",CLT[[#This Row],[5]])</f>
        <v>40</v>
      </c>
      <c r="O15" t="str">
        <f>IF(ISBLANK(CLT[[#This Row],[7]]),"",CLT[[#This Row],[7]])</f>
        <v/>
      </c>
      <c r="P15" t="str">
        <f>IF(ISBLANK(CLT[[#This Row],[9]]),"",CLT[[#This Row],[9]])</f>
        <v/>
      </c>
      <c r="Q15"/>
      <c r="S15" s="3" t="str">
        <f t="shared" si="0"/>
        <v>4030303040</v>
      </c>
    </row>
    <row r="16" spans="2:19" ht="15">
      <c r="C16" t="s">
        <v>784</v>
      </c>
      <c r="D16">
        <f>SUM(CLT[[#This Row],[9]:[9'']])</f>
        <v>170</v>
      </c>
      <c r="E16">
        <f>COUNT(CLT[[#This Row],[9]:[9'']])</f>
        <v>5</v>
      </c>
      <c r="F16" t="str">
        <f>_xlfn.CONCAT(D16, "mm-",CLT[[#This Row],[Layers]],"s", "-",H16," ",I16," ",J16," ",K16," ",L16," ",M16," ",N16," ",O16," ",P16)</f>
        <v xml:space="preserve">170mm-5s-  30 40 30 40 30  </v>
      </c>
      <c r="G16"/>
      <c r="H16"/>
      <c r="I16"/>
      <c r="J16">
        <v>30</v>
      </c>
      <c r="K16">
        <v>40</v>
      </c>
      <c r="L16">
        <v>30</v>
      </c>
      <c r="M16">
        <f>CLT[[#This Row],[3]]</f>
        <v>40</v>
      </c>
      <c r="N16">
        <f>IF(ISBLANK(CLT[[#This Row],[5]]),"",CLT[[#This Row],[5]])</f>
        <v>30</v>
      </c>
      <c r="O16" t="str">
        <f>IF(ISBLANK(CLT[[#This Row],[7]]),"",CLT[[#This Row],[7]])</f>
        <v/>
      </c>
      <c r="P16" t="str">
        <f>IF(ISBLANK(CLT[[#This Row],[9]]),"",CLT[[#This Row],[9]])</f>
        <v/>
      </c>
      <c r="Q16"/>
      <c r="S16" s="3" t="str">
        <f t="shared" si="0"/>
        <v>3040304030</v>
      </c>
    </row>
    <row r="17" spans="3:19" ht="15">
      <c r="C17" t="s">
        <v>780</v>
      </c>
      <c r="D17">
        <f>SUM(CLT[[#This Row],[9]:[9'']])</f>
        <v>180</v>
      </c>
      <c r="E17">
        <f>COUNT(CLT[[#This Row],[9]:[9'']])</f>
        <v>5</v>
      </c>
      <c r="F17" t="str">
        <f>_xlfn.CONCAT(D17, "mm-",CLT[[#This Row],[Layers]],"s", "-",H17," ",I17," ",J17," ",K17," ",L17," ",M17," ",N17," ",O17," ",P17)</f>
        <v xml:space="preserve">180mm-5s-  40 30 40 30 40  </v>
      </c>
      <c r="G17"/>
      <c r="H17"/>
      <c r="I17"/>
      <c r="J17">
        <v>40</v>
      </c>
      <c r="K17">
        <v>30</v>
      </c>
      <c r="L17">
        <v>40</v>
      </c>
      <c r="M17">
        <f>CLT[[#This Row],[3]]</f>
        <v>30</v>
      </c>
      <c r="N17">
        <f>IF(ISBLANK(CLT[[#This Row],[5]]),"",CLT[[#This Row],[5]])</f>
        <v>40</v>
      </c>
      <c r="O17" t="str">
        <f>IF(ISBLANK(CLT[[#This Row],[7]]),"",CLT[[#This Row],[7]])</f>
        <v/>
      </c>
      <c r="P17" t="str">
        <f>IF(ISBLANK(CLT[[#This Row],[9]]),"",CLT[[#This Row],[9]])</f>
        <v/>
      </c>
      <c r="Q17"/>
      <c r="S17" s="3" t="str">
        <f t="shared" si="0"/>
        <v>4030403040</v>
      </c>
    </row>
    <row r="18" spans="3:19" ht="15">
      <c r="C18" t="s">
        <v>785</v>
      </c>
      <c r="D18">
        <f>SUM(CLT[[#This Row],[9]:[9'']])</f>
        <v>180</v>
      </c>
      <c r="E18">
        <f>COUNT(CLT[[#This Row],[9]:[9'']])</f>
        <v>7</v>
      </c>
      <c r="F18" t="str">
        <f>_xlfn.CONCAT(D18, "mm-",CLT[[#This Row],[Layers]],"s", "-",H18," ",I18," ",J18," ",K18," ",L18," ",M18," ",N18," ",O18," ",P18)</f>
        <v xml:space="preserve">180mm-7s- 20 40 20 20 20 40 20 </v>
      </c>
      <c r="G18"/>
      <c r="H18"/>
      <c r="I18">
        <v>20</v>
      </c>
      <c r="J18">
        <v>40</v>
      </c>
      <c r="K18">
        <v>20</v>
      </c>
      <c r="L18">
        <v>20</v>
      </c>
      <c r="M18">
        <f>CLT[[#This Row],[3]]</f>
        <v>20</v>
      </c>
      <c r="N18">
        <f>IF(ISBLANK(CLT[[#This Row],[5]]),"",CLT[[#This Row],[5]])</f>
        <v>40</v>
      </c>
      <c r="O18">
        <f>IF(ISBLANK(CLT[[#This Row],[7]]),"",CLT[[#This Row],[7]])</f>
        <v>20</v>
      </c>
      <c r="P18" t="str">
        <f>IF(ISBLANK(CLT[[#This Row],[9]]),"",CLT[[#This Row],[9]])</f>
        <v/>
      </c>
      <c r="Q18"/>
      <c r="S18" s="3" t="str">
        <f t="shared" si="0"/>
        <v>20402020204020</v>
      </c>
    </row>
    <row r="19" spans="3:19" ht="15">
      <c r="C19" t="s">
        <v>784</v>
      </c>
      <c r="D19">
        <f>SUM(CLT[[#This Row],[9]:[9'']])</f>
        <v>180</v>
      </c>
      <c r="E19">
        <f>COUNT(CLT[[#This Row],[9]:[9'']])</f>
        <v>7</v>
      </c>
      <c r="F19" t="str">
        <f>_xlfn.CONCAT(D19, "mm-",CLT[[#This Row],[Layers]],"s", "-",H19," ",I19," ",J19," ",K19," ",L19," ",M19," ",N19," ",O19," ",P19)</f>
        <v xml:space="preserve">180mm-7s- 30 20 30 20 30 20 30 </v>
      </c>
      <c r="G19"/>
      <c r="H19"/>
      <c r="I19">
        <v>30</v>
      </c>
      <c r="J19">
        <v>20</v>
      </c>
      <c r="K19">
        <v>30</v>
      </c>
      <c r="L19">
        <v>20</v>
      </c>
      <c r="M19">
        <f>CLT[[#This Row],[3]]</f>
        <v>30</v>
      </c>
      <c r="N19">
        <f>IF(ISBLANK(CLT[[#This Row],[5]]),"",CLT[[#This Row],[5]])</f>
        <v>20</v>
      </c>
      <c r="O19">
        <f>IF(ISBLANK(CLT[[#This Row],[7]]),"",CLT[[#This Row],[7]])</f>
        <v>30</v>
      </c>
      <c r="P19" t="str">
        <f>IF(ISBLANK(CLT[[#This Row],[9]]),"",CLT[[#This Row],[9]])</f>
        <v/>
      </c>
      <c r="Q19"/>
      <c r="S19" s="3" t="str">
        <f t="shared" si="0"/>
        <v>30203020302030</v>
      </c>
    </row>
    <row r="20" spans="3:19" ht="15">
      <c r="C20" t="s">
        <v>785</v>
      </c>
      <c r="D20">
        <f>SUM(CLT[[#This Row],[9]:[9'']])</f>
        <v>190</v>
      </c>
      <c r="E20">
        <f>COUNT(CLT[[#This Row],[9]:[9'']])</f>
        <v>5</v>
      </c>
      <c r="F20" t="str">
        <f>_xlfn.CONCAT(D20, "mm-",CLT[[#This Row],[Layers]],"s", "-",H20," ",I20," ",J20," ",K20," ",L20," ",M20," ",N20," ",O20," ",P20)</f>
        <v xml:space="preserve">190mm-5s-  40 40 30 40 40  </v>
      </c>
      <c r="G20"/>
      <c r="H20"/>
      <c r="I20"/>
      <c r="J20">
        <v>40</v>
      </c>
      <c r="K20">
        <v>40</v>
      </c>
      <c r="L20">
        <v>30</v>
      </c>
      <c r="M20">
        <f>CLT[[#This Row],[3]]</f>
        <v>40</v>
      </c>
      <c r="N20">
        <f>IF(ISBLANK(CLT[[#This Row],[5]]),"",CLT[[#This Row],[5]])</f>
        <v>40</v>
      </c>
      <c r="O20" t="str">
        <f>IF(ISBLANK(CLT[[#This Row],[7]]),"",CLT[[#This Row],[7]])</f>
        <v/>
      </c>
      <c r="P20" t="str">
        <f>IF(ISBLANK(CLT[[#This Row],[9]]),"",CLT[[#This Row],[9]])</f>
        <v/>
      </c>
      <c r="Q20"/>
      <c r="S20" s="3" t="str">
        <f t="shared" si="0"/>
        <v>4040304040</v>
      </c>
    </row>
    <row r="21" spans="3:19" ht="15">
      <c r="C21" t="s">
        <v>783</v>
      </c>
      <c r="D21">
        <f>SUM(CLT[[#This Row],[9]:[9'']])</f>
        <v>200</v>
      </c>
      <c r="E21">
        <f>COUNT(CLT[[#This Row],[9]:[9'']])</f>
        <v>5</v>
      </c>
      <c r="F21" t="str">
        <f>_xlfn.CONCAT(D21, "mm-",CLT[[#This Row],[Layers]],"s", "-",H21," ",I21," ",J21," ",K21," ",L21," ",M21," ",N21," ",O21," ",P21)</f>
        <v xml:space="preserve">200mm-5s-  60 20 40 20 60  </v>
      </c>
      <c r="G21"/>
      <c r="H21"/>
      <c r="I21"/>
      <c r="J21">
        <v>60</v>
      </c>
      <c r="K21">
        <v>20</v>
      </c>
      <c r="L21">
        <v>40</v>
      </c>
      <c r="M21">
        <f>CLT[[#This Row],[3]]</f>
        <v>20</v>
      </c>
      <c r="N21">
        <f>IF(ISBLANK(CLT[[#This Row],[5]]),"",CLT[[#This Row],[5]])</f>
        <v>60</v>
      </c>
      <c r="O21" t="str">
        <f>IF(ISBLANK(CLT[[#This Row],[7]]),"",CLT[[#This Row],[7]])</f>
        <v/>
      </c>
      <c r="P21" t="str">
        <f>IF(ISBLANK(CLT[[#This Row],[9]]),"",CLT[[#This Row],[9]])</f>
        <v/>
      </c>
      <c r="Q21"/>
      <c r="S21" s="3" t="str">
        <f t="shared" si="0"/>
        <v>6020402060</v>
      </c>
    </row>
    <row r="22" spans="3:19" ht="15">
      <c r="C22" t="s">
        <v>780</v>
      </c>
      <c r="D22">
        <f>SUM(CLT[[#This Row],[9]:[9'']])</f>
        <v>200</v>
      </c>
      <c r="E22">
        <f>COUNT(CLT[[#This Row],[9]:[9'']])</f>
        <v>5</v>
      </c>
      <c r="F22" t="str">
        <f>_xlfn.CONCAT(D22, "mm-",CLT[[#This Row],[Layers]],"s", "-",H22," ",I22," ",J22," ",K22," ",L22," ",M22," ",N22," ",O22," ",P22)</f>
        <v xml:space="preserve">200mm-5s-  40 40 40 40 40  </v>
      </c>
      <c r="G22"/>
      <c r="H22"/>
      <c r="I22"/>
      <c r="J22">
        <v>40</v>
      </c>
      <c r="K22">
        <v>40</v>
      </c>
      <c r="L22">
        <v>40</v>
      </c>
      <c r="M22">
        <f>CLT[[#This Row],[3]]</f>
        <v>40</v>
      </c>
      <c r="N22">
        <f>IF(ISBLANK(CLT[[#This Row],[5]]),"",CLT[[#This Row],[5]])</f>
        <v>40</v>
      </c>
      <c r="O22" t="str">
        <f>IF(ISBLANK(CLT[[#This Row],[7]]),"",CLT[[#This Row],[7]])</f>
        <v/>
      </c>
      <c r="P22" t="str">
        <f>IF(ISBLANK(CLT[[#This Row],[9]]),"",CLT[[#This Row],[9]])</f>
        <v/>
      </c>
      <c r="Q22"/>
      <c r="S22" s="3" t="str">
        <f t="shared" si="0"/>
        <v>4040404040</v>
      </c>
    </row>
    <row r="23" spans="3:19" ht="15">
      <c r="C23" t="s">
        <v>780</v>
      </c>
      <c r="D23">
        <f>SUM(CLT[[#This Row],[9]:[9'']])</f>
        <v>200</v>
      </c>
      <c r="E23">
        <f>COUNT(CLT[[#This Row],[9]:[9'']])</f>
        <v>7</v>
      </c>
      <c r="F23" t="str">
        <f>_xlfn.CONCAT(D23, "mm-",CLT[[#This Row],[Layers]],"s", "-",H23," ",I23," ",J23," ",K23," ",L23," ",M23," ",N23," ",O23," ",P23)</f>
        <v xml:space="preserve">200mm-7s- 30 30 30 20 30 30 30 </v>
      </c>
      <c r="G23"/>
      <c r="H23"/>
      <c r="I23">
        <v>30</v>
      </c>
      <c r="J23">
        <v>30</v>
      </c>
      <c r="K23">
        <v>30</v>
      </c>
      <c r="L23">
        <v>20</v>
      </c>
      <c r="M23">
        <f>CLT[[#This Row],[3]]</f>
        <v>30</v>
      </c>
      <c r="N23">
        <f>IF(ISBLANK(CLT[[#This Row],[5]]),"",CLT[[#This Row],[5]])</f>
        <v>30</v>
      </c>
      <c r="O23">
        <f>IF(ISBLANK(CLT[[#This Row],[7]]),"",CLT[[#This Row],[7]])</f>
        <v>30</v>
      </c>
      <c r="P23" t="str">
        <f>IF(ISBLANK(CLT[[#This Row],[9]]),"",CLT[[#This Row],[9]])</f>
        <v/>
      </c>
      <c r="Q23"/>
      <c r="S23" s="3" t="str">
        <f t="shared" si="0"/>
        <v>30303020303030</v>
      </c>
    </row>
    <row r="24" spans="3:19" ht="15">
      <c r="C24" t="s">
        <v>781</v>
      </c>
      <c r="D24">
        <f>SUM(CLT[[#This Row],[9]:[9'']])</f>
        <v>200</v>
      </c>
      <c r="E24">
        <f>COUNT(CLT[[#This Row],[9]:[9'']])</f>
        <v>7</v>
      </c>
      <c r="F24" t="str">
        <f>_xlfn.CONCAT(D24, "mm-",CLT[[#This Row],[Layers]],"s", "-",H24," ",I24," ",J24," ",K24," ",L24," ",M24," ",N24," ",O24," ",P24)</f>
        <v xml:space="preserve">200mm-7s- 20 40 20 40 20 40 20 </v>
      </c>
      <c r="G24"/>
      <c r="H24"/>
      <c r="I24">
        <v>20</v>
      </c>
      <c r="J24">
        <v>40</v>
      </c>
      <c r="K24">
        <v>20</v>
      </c>
      <c r="L24">
        <v>40</v>
      </c>
      <c r="M24">
        <f>CLT[[#This Row],[3]]</f>
        <v>20</v>
      </c>
      <c r="N24">
        <f>IF(ISBLANK(CLT[[#This Row],[5]]),"",CLT[[#This Row],[5]])</f>
        <v>40</v>
      </c>
      <c r="O24">
        <f>IF(ISBLANK(CLT[[#This Row],[7]]),"",CLT[[#This Row],[7]])</f>
        <v>20</v>
      </c>
      <c r="P24" t="str">
        <f>IF(ISBLANK(CLT[[#This Row],[9]]),"",CLT[[#This Row],[9]])</f>
        <v/>
      </c>
      <c r="Q24"/>
      <c r="S24" s="3" t="str">
        <f t="shared" si="0"/>
        <v>20402040204020</v>
      </c>
    </row>
    <row r="25" spans="3:19" ht="15">
      <c r="C25" t="s">
        <v>780</v>
      </c>
      <c r="D25">
        <f>SUM(CLT[[#This Row],[9]:[9'']])</f>
        <v>210</v>
      </c>
      <c r="E25">
        <f>COUNT(CLT[[#This Row],[9]:[9'']])</f>
        <v>7</v>
      </c>
      <c r="F25" t="str">
        <f>_xlfn.CONCAT(D25, "mm-",CLT[[#This Row],[Layers]],"s", "-",H25," ",I25," ",J25," ",K25," ",L25," ",M25," ",N25," ",O25," ",P25)</f>
        <v xml:space="preserve">210mm-7s- 30 30 30 30 30 30 30 </v>
      </c>
      <c r="G25"/>
      <c r="H25"/>
      <c r="I25">
        <v>30</v>
      </c>
      <c r="J25">
        <v>30</v>
      </c>
      <c r="K25">
        <v>30</v>
      </c>
      <c r="L25">
        <v>30</v>
      </c>
      <c r="M25">
        <f>CLT[[#This Row],[3]]</f>
        <v>30</v>
      </c>
      <c r="N25">
        <f>IF(ISBLANK(CLT[[#This Row],[5]]),"",CLT[[#This Row],[5]])</f>
        <v>30</v>
      </c>
      <c r="O25">
        <f>IF(ISBLANK(CLT[[#This Row],[7]]),"",CLT[[#This Row],[7]])</f>
        <v>30</v>
      </c>
      <c r="P25" t="str">
        <f>IF(ISBLANK(CLT[[#This Row],[9]]),"",CLT[[#This Row],[9]])</f>
        <v/>
      </c>
      <c r="Q25"/>
      <c r="S25" s="3" t="str">
        <f t="shared" si="0"/>
        <v>30303030303030</v>
      </c>
    </row>
    <row r="26" spans="3:19" ht="15">
      <c r="C26" t="s">
        <v>780</v>
      </c>
      <c r="D26">
        <f>SUM(CLT[[#This Row],[9]:[9'']])</f>
        <v>210</v>
      </c>
      <c r="E26">
        <f>COUNT(CLT[[#This Row],[9]:[9'']])</f>
        <v>5</v>
      </c>
      <c r="F26" t="str">
        <f>_xlfn.CONCAT(D26, "mm-",CLT[[#This Row],[Layers]],"s", "-",H26," ",I26," ",J26," ",K26," ",L26," ",M26," ",N26," ",O26," ",P26)</f>
        <v xml:space="preserve">210mm-5s-  60 30 30 30 60  </v>
      </c>
      <c r="G26"/>
      <c r="H26"/>
      <c r="I26"/>
      <c r="J26">
        <v>60</v>
      </c>
      <c r="K26">
        <v>30</v>
      </c>
      <c r="L26">
        <v>30</v>
      </c>
      <c r="M26">
        <f>CLT[[#This Row],[3]]</f>
        <v>30</v>
      </c>
      <c r="N26">
        <f>IF(ISBLANK(CLT[[#This Row],[5]]),"",CLT[[#This Row],[5]])</f>
        <v>60</v>
      </c>
      <c r="O26" t="str">
        <f>IF(ISBLANK(CLT[[#This Row],[7]]),"",CLT[[#This Row],[7]])</f>
        <v/>
      </c>
      <c r="P26" t="str">
        <f>IF(ISBLANK(CLT[[#This Row],[9]]),"",CLT[[#This Row],[9]])</f>
        <v/>
      </c>
      <c r="Q26"/>
      <c r="S26" s="3" t="str">
        <f t="shared" si="0"/>
        <v>6030303060</v>
      </c>
    </row>
    <row r="27" spans="3:19" ht="15">
      <c r="C27" t="s">
        <v>783</v>
      </c>
      <c r="D27">
        <f>SUM(CLT[[#This Row],[9]:[9'']])</f>
        <v>220</v>
      </c>
      <c r="E27">
        <f>COUNT(CLT[[#This Row],[9]:[9'']])</f>
        <v>5</v>
      </c>
      <c r="F27" t="str">
        <f>_xlfn.CONCAT(D27, "mm-",CLT[[#This Row],[Layers]],"s", "-",H27," ",I27," ",J27," ",K27," ",L27," ",M27," ",N27," ",O27," ",P27)</f>
        <v xml:space="preserve">220mm-5s-  60 30 40 30 60  </v>
      </c>
      <c r="G27"/>
      <c r="H27"/>
      <c r="I27"/>
      <c r="J27">
        <v>60</v>
      </c>
      <c r="K27">
        <v>30</v>
      </c>
      <c r="L27">
        <v>40</v>
      </c>
      <c r="M27">
        <f>CLT[[#This Row],[3]]</f>
        <v>30</v>
      </c>
      <c r="N27">
        <f>IF(ISBLANK(CLT[[#This Row],[5]]),"",CLT[[#This Row],[5]])</f>
        <v>60</v>
      </c>
      <c r="O27" t="str">
        <f>IF(ISBLANK(CLT[[#This Row],[7]]),"",CLT[[#This Row],[7]])</f>
        <v/>
      </c>
      <c r="P27" t="str">
        <f>IF(ISBLANK(CLT[[#This Row],[9]]),"",CLT[[#This Row],[9]])</f>
        <v/>
      </c>
      <c r="Q27"/>
      <c r="S27" s="3" t="str">
        <f t="shared" si="0"/>
        <v>6030403060</v>
      </c>
    </row>
    <row r="28" spans="3:19" ht="15">
      <c r="C28" t="s">
        <v>780</v>
      </c>
      <c r="D28">
        <f>SUM(CLT[[#This Row],[9]:[9'']])</f>
        <v>220</v>
      </c>
      <c r="E28">
        <f>COUNT(CLT[[#This Row],[9]:[9'']])</f>
        <v>7</v>
      </c>
      <c r="F28" t="str">
        <f>_xlfn.CONCAT(D28, "mm-",CLT[[#This Row],[Layers]],"s", "-",H28," ",I28," ",J28," ",K28," ",L28," ",M28," ",N28," ",O28," ",P28)</f>
        <v xml:space="preserve">220mm-7s- 40 40 20 20 20 40 40 </v>
      </c>
      <c r="G28"/>
      <c r="H28"/>
      <c r="I28">
        <v>40</v>
      </c>
      <c r="J28">
        <v>40</v>
      </c>
      <c r="K28">
        <v>20</v>
      </c>
      <c r="L28">
        <v>20</v>
      </c>
      <c r="M28">
        <f>CLT[[#This Row],[3]]</f>
        <v>20</v>
      </c>
      <c r="N28">
        <f>IF(ISBLANK(CLT[[#This Row],[5]]),"",CLT[[#This Row],[5]])</f>
        <v>40</v>
      </c>
      <c r="O28">
        <f>IF(ISBLANK(CLT[[#This Row],[7]]),"",CLT[[#This Row],[7]])</f>
        <v>40</v>
      </c>
      <c r="P28" t="str">
        <f>IF(ISBLANK(CLT[[#This Row],[9]]),"",CLT[[#This Row],[9]])</f>
        <v/>
      </c>
      <c r="Q28"/>
      <c r="S28" s="3" t="str">
        <f t="shared" si="0"/>
        <v>40402020204040</v>
      </c>
    </row>
    <row r="29" spans="3:19" ht="15">
      <c r="C29" t="s">
        <v>785</v>
      </c>
      <c r="D29">
        <f>SUM(CLT[[#This Row],[9]:[9'']])</f>
        <v>220</v>
      </c>
      <c r="E29">
        <f>COUNT(CLT[[#This Row],[9]:[9'']])</f>
        <v>7</v>
      </c>
      <c r="F29" t="str">
        <f>_xlfn.CONCAT(D29, "mm-",CLT[[#This Row],[Layers]],"s", "-",H29," ",I29," ",J29," ",K29," ",L29," ",M29," ",N29," ",O29," ",P29)</f>
        <v xml:space="preserve">220mm-7s- 30 40 30 20 30 40 30 </v>
      </c>
      <c r="G29"/>
      <c r="H29"/>
      <c r="I29">
        <v>30</v>
      </c>
      <c r="J29">
        <v>40</v>
      </c>
      <c r="K29">
        <v>30</v>
      </c>
      <c r="L29">
        <v>20</v>
      </c>
      <c r="M29">
        <f>CLT[[#This Row],[3]]</f>
        <v>30</v>
      </c>
      <c r="N29">
        <f>IF(ISBLANK(CLT[[#This Row],[5]]),"",CLT[[#This Row],[5]])</f>
        <v>40</v>
      </c>
      <c r="O29">
        <f>IF(ISBLANK(CLT[[#This Row],[7]]),"",CLT[[#This Row],[7]])</f>
        <v>30</v>
      </c>
      <c r="P29" t="str">
        <f>IF(ISBLANK(CLT[[#This Row],[9]]),"",CLT[[#This Row],[9]])</f>
        <v/>
      </c>
      <c r="Q29"/>
      <c r="S29" s="3" t="str">
        <f t="shared" si="0"/>
        <v>30403020304030</v>
      </c>
    </row>
    <row r="30" spans="3:19" ht="15">
      <c r="C30" t="s">
        <v>785</v>
      </c>
      <c r="D30">
        <f>SUM(CLT[[#This Row],[9]:[9'']])</f>
        <v>220</v>
      </c>
      <c r="E30">
        <f>COUNT(CLT[[#This Row],[9]:[9'']])</f>
        <v>5</v>
      </c>
      <c r="F30" t="str">
        <f>_xlfn.CONCAT(D30, "mm-",CLT[[#This Row],[Layers]],"s", "-",H30," ",I30," ",J30," ",K30," ",L30," ",M30," ",N30," ",O30," ",P30)</f>
        <v xml:space="preserve">220mm-5s-  80 20 20 20 80  </v>
      </c>
      <c r="G30"/>
      <c r="H30"/>
      <c r="I30"/>
      <c r="J30">
        <v>80</v>
      </c>
      <c r="K30">
        <v>20</v>
      </c>
      <c r="L30">
        <v>20</v>
      </c>
      <c r="M30">
        <f>CLT[[#This Row],[3]]</f>
        <v>20</v>
      </c>
      <c r="N30">
        <f>IF(ISBLANK(CLT[[#This Row],[5]]),"",CLT[[#This Row],[5]])</f>
        <v>80</v>
      </c>
      <c r="O30" t="str">
        <f>IF(ISBLANK(CLT[[#This Row],[7]]),"",CLT[[#This Row],[7]])</f>
        <v/>
      </c>
      <c r="P30" t="str">
        <f>IF(ISBLANK(CLT[[#This Row],[9]]),"",CLT[[#This Row],[9]])</f>
        <v/>
      </c>
      <c r="Q30"/>
      <c r="S30" s="3" t="str">
        <f t="shared" si="0"/>
        <v>8020202080</v>
      </c>
    </row>
    <row r="31" spans="3:19" ht="15">
      <c r="C31" t="s">
        <v>786</v>
      </c>
      <c r="D31">
        <f>SUM(CLT[[#This Row],[9]:[9'']])</f>
        <v>220</v>
      </c>
      <c r="E31">
        <f>COUNT(CLT[[#This Row],[9]:[9'']])</f>
        <v>7</v>
      </c>
      <c r="F31" t="str">
        <f>_xlfn.CONCAT(D31, "mm-",CLT[[#This Row],[Layers]],"s", "-",H31," ",I31," ",J31," ",K31," ",L31," ",M31," ",N31," ",O31," ",P31)</f>
        <v xml:space="preserve">220mm-7s- 40 20 40 20 40 20 40 </v>
      </c>
      <c r="G31"/>
      <c r="H31"/>
      <c r="I31">
        <v>40</v>
      </c>
      <c r="J31">
        <v>20</v>
      </c>
      <c r="K31">
        <v>40</v>
      </c>
      <c r="L31">
        <v>20</v>
      </c>
      <c r="M31">
        <f>CLT[[#This Row],[3]]</f>
        <v>40</v>
      </c>
      <c r="N31">
        <f>IF(ISBLANK(CLT[[#This Row],[5]]),"",CLT[[#This Row],[5]])</f>
        <v>20</v>
      </c>
      <c r="O31">
        <f>IF(ISBLANK(CLT[[#This Row],[7]]),"",CLT[[#This Row],[7]])</f>
        <v>40</v>
      </c>
      <c r="P31" t="str">
        <f>IF(ISBLANK(CLT[[#This Row],[9]]),"",CLT[[#This Row],[9]])</f>
        <v/>
      </c>
      <c r="Q31"/>
      <c r="S31" s="3" t="str">
        <f t="shared" si="0"/>
        <v>40204020402040</v>
      </c>
    </row>
    <row r="32" spans="3:19" ht="15">
      <c r="C32" t="s">
        <v>780</v>
      </c>
      <c r="D32">
        <f>SUM(CLT[[#This Row],[9]:[9'']])</f>
        <v>240</v>
      </c>
      <c r="E32">
        <f>COUNT(CLT[[#This Row],[9]:[9'']])</f>
        <v>7</v>
      </c>
      <c r="F32" t="str">
        <f>_xlfn.CONCAT(D32, "mm-",CLT[[#This Row],[Layers]],"s", "-",H32," ",I32," ",J32," ",K32," ",L32," ",M32," ",N32," ",O32," ",P32)</f>
        <v xml:space="preserve">240mm-7s- 40 40 20 40 20 40 40 </v>
      </c>
      <c r="G32"/>
      <c r="H32"/>
      <c r="I32">
        <v>40</v>
      </c>
      <c r="J32">
        <v>40</v>
      </c>
      <c r="K32">
        <v>20</v>
      </c>
      <c r="L32">
        <v>40</v>
      </c>
      <c r="M32">
        <f>CLT[[#This Row],[3]]</f>
        <v>20</v>
      </c>
      <c r="N32">
        <f>IF(ISBLANK(CLT[[#This Row],[5]]),"",CLT[[#This Row],[5]])</f>
        <v>40</v>
      </c>
      <c r="O32">
        <f>IF(ISBLANK(CLT[[#This Row],[7]]),"",CLT[[#This Row],[7]])</f>
        <v>40</v>
      </c>
      <c r="P32" t="str">
        <f>IF(ISBLANK(CLT[[#This Row],[9]]),"",CLT[[#This Row],[9]])</f>
        <v/>
      </c>
      <c r="Q32"/>
      <c r="S32" s="3" t="str">
        <f t="shared" si="0"/>
        <v>40402040204040</v>
      </c>
    </row>
    <row r="33" spans="3:19" ht="15">
      <c r="C33" t="s">
        <v>785</v>
      </c>
      <c r="D33">
        <f>SUM(CLT[[#This Row],[9]:[9'']])</f>
        <v>240</v>
      </c>
      <c r="E33">
        <f>COUNT(CLT[[#This Row],[9]:[9'']])</f>
        <v>7</v>
      </c>
      <c r="F33" t="str">
        <f>_xlfn.CONCAT(D33, "mm-",CLT[[#This Row],[Layers]],"s", "-",H33," ",I33," ",J33," ",K33," ",L33," ",M33," ",N33," ",O33," ",P33)</f>
        <v xml:space="preserve">240mm-7s- 30 40 30 40 30 40 30 </v>
      </c>
      <c r="G33"/>
      <c r="H33"/>
      <c r="I33">
        <v>30</v>
      </c>
      <c r="J33">
        <v>40</v>
      </c>
      <c r="K33">
        <v>30</v>
      </c>
      <c r="L33">
        <v>40</v>
      </c>
      <c r="M33">
        <f>CLT[[#This Row],[3]]</f>
        <v>30</v>
      </c>
      <c r="N33">
        <f>IF(ISBLANK(CLT[[#This Row],[5]]),"",CLT[[#This Row],[5]])</f>
        <v>40</v>
      </c>
      <c r="O33">
        <f>IF(ISBLANK(CLT[[#This Row],[7]]),"",CLT[[#This Row],[7]])</f>
        <v>30</v>
      </c>
      <c r="P33" t="str">
        <f>IF(ISBLANK(CLT[[#This Row],[9]]),"",CLT[[#This Row],[9]])</f>
        <v/>
      </c>
      <c r="Q33"/>
      <c r="S33" s="3" t="str">
        <f t="shared" si="0"/>
        <v>30403040304030</v>
      </c>
    </row>
    <row r="34" spans="3:19" ht="15">
      <c r="C34" t="s">
        <v>786</v>
      </c>
      <c r="D34">
        <f>SUM(CLT[[#This Row],[9]:[9'']])</f>
        <v>240</v>
      </c>
      <c r="E34">
        <f>COUNT(CLT[[#This Row],[9]:[9'']])</f>
        <v>7</v>
      </c>
      <c r="F34" t="str">
        <f>_xlfn.CONCAT(D34, "mm-",CLT[[#This Row],[Layers]],"s", "-",H34," ",I34," ",J34," ",K34," ",L34," ",M34," ",N34," ",O34," ",P34)</f>
        <v xml:space="preserve">240mm-7s- 40 20 40 40 40 20 40 </v>
      </c>
      <c r="G34"/>
      <c r="H34"/>
      <c r="I34">
        <v>40</v>
      </c>
      <c r="J34">
        <v>20</v>
      </c>
      <c r="K34">
        <v>40</v>
      </c>
      <c r="L34">
        <v>40</v>
      </c>
      <c r="M34">
        <f>CLT[[#This Row],[3]]</f>
        <v>40</v>
      </c>
      <c r="N34">
        <f>IF(ISBLANK(CLT[[#This Row],[5]]),"",CLT[[#This Row],[5]])</f>
        <v>20</v>
      </c>
      <c r="O34">
        <f>IF(ISBLANK(CLT[[#This Row],[7]]),"",CLT[[#This Row],[7]])</f>
        <v>40</v>
      </c>
      <c r="P34" t="str">
        <f>IF(ISBLANK(CLT[[#This Row],[9]]),"",CLT[[#This Row],[9]])</f>
        <v/>
      </c>
      <c r="Q34"/>
      <c r="S34" s="3" t="str">
        <f t="shared" si="0"/>
        <v>40204040402040</v>
      </c>
    </row>
    <row r="35" spans="3:19" ht="15">
      <c r="C35" t="s">
        <v>786</v>
      </c>
      <c r="D35">
        <f>SUM(CLT[[#This Row],[9]:[9'']])</f>
        <v>240</v>
      </c>
      <c r="E35">
        <f>COUNT(CLT[[#This Row],[9]:[9'']])</f>
        <v>5</v>
      </c>
      <c r="F35" t="str">
        <f>_xlfn.CONCAT(D35, "mm-",CLT[[#This Row],[Layers]],"s", "-",H35," ",I35," ",J35," ",K35," ",L35," ",M35," ",N35," ",O35," ",P35)</f>
        <v xml:space="preserve">240mm-5s-  80 20 40 20 80  </v>
      </c>
      <c r="G35"/>
      <c r="H35"/>
      <c r="I35"/>
      <c r="J35">
        <v>80</v>
      </c>
      <c r="K35">
        <v>20</v>
      </c>
      <c r="L35">
        <v>40</v>
      </c>
      <c r="M35">
        <f>CLT[[#This Row],[3]]</f>
        <v>20</v>
      </c>
      <c r="N35">
        <f>IF(ISBLANK(CLT[[#This Row],[5]]),"",CLT[[#This Row],[5]])</f>
        <v>80</v>
      </c>
      <c r="O35" t="str">
        <f>IF(ISBLANK(CLT[[#This Row],[7]]),"",CLT[[#This Row],[7]])</f>
        <v/>
      </c>
      <c r="P35" t="str">
        <f>IF(ISBLANK(CLT[[#This Row],[9]]),"",CLT[[#This Row],[9]])</f>
        <v/>
      </c>
      <c r="Q35"/>
      <c r="S35" s="3" t="str">
        <f t="shared" si="0"/>
        <v>8020402080</v>
      </c>
    </row>
    <row r="36" spans="3:19" ht="15">
      <c r="C36" t="s">
        <v>787</v>
      </c>
      <c r="D36">
        <f>SUM(CLT[[#This Row],[9]:[9'']])</f>
        <v>252</v>
      </c>
      <c r="E36">
        <f>COUNT(CLT[[#This Row],[9]:[9'']])</f>
        <v>7</v>
      </c>
      <c r="F36" t="str">
        <f>_xlfn.CONCAT(D36, "mm-",CLT[[#This Row],[Layers]],"s", "-",H36," ",I36," ",J36," ",K36," ",L36," ",M36," ",N36," ",O36," ",P36)</f>
        <v xml:space="preserve">252mm-7s- 33 40 33 40 33 40 33 </v>
      </c>
      <c r="G36"/>
      <c r="H36"/>
      <c r="I36">
        <v>33</v>
      </c>
      <c r="J36">
        <v>40</v>
      </c>
      <c r="K36">
        <v>33</v>
      </c>
      <c r="L36">
        <v>40</v>
      </c>
      <c r="M36">
        <f>CLT[[#This Row],[3]]</f>
        <v>33</v>
      </c>
      <c r="N36">
        <f>IF(ISBLANK(CLT[[#This Row],[5]]),"",CLT[[#This Row],[5]])</f>
        <v>40</v>
      </c>
      <c r="O36">
        <f>IF(ISBLANK(CLT[[#This Row],[7]]),"",CLT[[#This Row],[7]])</f>
        <v>33</v>
      </c>
      <c r="P36" t="str">
        <f>IF(ISBLANK(CLT[[#This Row],[9]]),"",CLT[[#This Row],[9]])</f>
        <v/>
      </c>
      <c r="Q36"/>
      <c r="R36" s="9"/>
      <c r="S36" s="3" t="str">
        <f t="shared" si="0"/>
        <v>33403340334033</v>
      </c>
    </row>
    <row r="37" spans="3:19" ht="15">
      <c r="C37" t="s">
        <v>783</v>
      </c>
      <c r="D37">
        <f>SUM(CLT[[#This Row],[9]:[9'']])</f>
        <v>260</v>
      </c>
      <c r="E37">
        <f>COUNT(CLT[[#This Row],[9]:[9'']])</f>
        <v>5</v>
      </c>
      <c r="F37" t="str">
        <f>_xlfn.CONCAT(D37, "mm-",CLT[[#This Row],[Layers]],"s", "-",H37," ",I37," ",J37," ",K37," ",L37," ",M37," ",N37," ",O37," ",P37)</f>
        <v xml:space="preserve">260mm-5s-  80 30 40 30 80  </v>
      </c>
      <c r="G37"/>
      <c r="H37"/>
      <c r="I37"/>
      <c r="J37">
        <v>80</v>
      </c>
      <c r="K37">
        <v>30</v>
      </c>
      <c r="L37">
        <v>40</v>
      </c>
      <c r="M37">
        <f>CLT[[#This Row],[3]]</f>
        <v>30</v>
      </c>
      <c r="N37">
        <f>IF(ISBLANK(CLT[[#This Row],[5]]),"",CLT[[#This Row],[5]])</f>
        <v>80</v>
      </c>
      <c r="O37" t="str">
        <f>IF(ISBLANK(CLT[[#This Row],[7]]),"",CLT[[#This Row],[7]])</f>
        <v/>
      </c>
      <c r="P37" t="str">
        <f>IF(ISBLANK(CLT[[#This Row],[9]]),"",CLT[[#This Row],[9]])</f>
        <v/>
      </c>
      <c r="Q37"/>
      <c r="S37" s="3" t="str">
        <f t="shared" si="0"/>
        <v>8030403080</v>
      </c>
    </row>
    <row r="38" spans="3:19" ht="15">
      <c r="C38" t="s">
        <v>780</v>
      </c>
      <c r="D38">
        <f>SUM(CLT[[#This Row],[9]:[9'']])</f>
        <v>260</v>
      </c>
      <c r="E38">
        <f>COUNT(CLT[[#This Row],[9]:[9'']])</f>
        <v>7</v>
      </c>
      <c r="F38" t="str">
        <f>_xlfn.CONCAT(D38, "mm-",CLT[[#This Row],[Layers]],"s", "-",H38," ",I38," ",J38," ",K38," ",L38," ",M38," ",N38," ",O38," ",P38)</f>
        <v xml:space="preserve">260mm-7s- 40 40 30 40 30 40 40 </v>
      </c>
      <c r="G38"/>
      <c r="H38"/>
      <c r="I38">
        <v>40</v>
      </c>
      <c r="J38">
        <v>40</v>
      </c>
      <c r="K38">
        <v>30</v>
      </c>
      <c r="L38">
        <v>40</v>
      </c>
      <c r="M38">
        <f>CLT[[#This Row],[3]]</f>
        <v>30</v>
      </c>
      <c r="N38">
        <f>IF(ISBLANK(CLT[[#This Row],[5]]),"",CLT[[#This Row],[5]])</f>
        <v>40</v>
      </c>
      <c r="O38">
        <f>IF(ISBLANK(CLT[[#This Row],[7]]),"",CLT[[#This Row],[7]])</f>
        <v>40</v>
      </c>
      <c r="P38" t="str">
        <f>IF(ISBLANK(CLT[[#This Row],[9]]),"",CLT[[#This Row],[9]])</f>
        <v/>
      </c>
      <c r="Q38"/>
      <c r="S38" s="3" t="str">
        <f t="shared" si="0"/>
        <v>40403040304040</v>
      </c>
    </row>
    <row r="39" spans="3:19" ht="15">
      <c r="C39" t="s">
        <v>780</v>
      </c>
      <c r="D39">
        <f>SUM(CLT[[#This Row],[9]:[9'']])</f>
        <v>260</v>
      </c>
      <c r="E39">
        <f>COUNT(CLT[[#This Row],[9]:[9'']])</f>
        <v>5</v>
      </c>
      <c r="F39" t="str">
        <f>_xlfn.CONCAT(D39, "mm-",CLT[[#This Row],[Layers]],"s", "-",H39," ",I39," ",J39," ",K39," ",L39," ",M39," ",N39," ",O39," ",P39)</f>
        <v xml:space="preserve">260mm-5s-  80 30 40 30 80  </v>
      </c>
      <c r="G39"/>
      <c r="H39"/>
      <c r="I39"/>
      <c r="J39">
        <v>80</v>
      </c>
      <c r="K39">
        <v>30</v>
      </c>
      <c r="L39">
        <v>40</v>
      </c>
      <c r="M39">
        <f>CLT[[#This Row],[3]]</f>
        <v>30</v>
      </c>
      <c r="N39">
        <f>IF(ISBLANK(CLT[[#This Row],[5]]),"",CLT[[#This Row],[5]])</f>
        <v>80</v>
      </c>
      <c r="O39" t="str">
        <f>IF(ISBLANK(CLT[[#This Row],[7]]),"",CLT[[#This Row],[7]])</f>
        <v/>
      </c>
      <c r="P39" t="str">
        <f>IF(ISBLANK(CLT[[#This Row],[9]]),"",CLT[[#This Row],[9]])</f>
        <v/>
      </c>
      <c r="Q39"/>
      <c r="S39" s="3" t="str">
        <f t="shared" si="0"/>
        <v>8030403080</v>
      </c>
    </row>
    <row r="40" spans="3:19" ht="15">
      <c r="C40" t="s">
        <v>780</v>
      </c>
      <c r="D40">
        <f>SUM(CLT[[#This Row],[9]:[9'']])</f>
        <v>280</v>
      </c>
      <c r="E40">
        <f>COUNT(CLT[[#This Row],[9]:[9'']])</f>
        <v>7</v>
      </c>
      <c r="F40" t="str">
        <f>_xlfn.CONCAT(D40, "mm-",CLT[[#This Row],[Layers]],"s", "-",H40," ",I40," ",J40," ",K40," ",L40," ",M40," ",N40," ",O40," ",P40)</f>
        <v xml:space="preserve">280mm-7s- 40 40 40 40 40 40 40 </v>
      </c>
      <c r="G40"/>
      <c r="H40"/>
      <c r="I40">
        <v>40</v>
      </c>
      <c r="J40">
        <v>40</v>
      </c>
      <c r="K40">
        <v>40</v>
      </c>
      <c r="L40">
        <v>40</v>
      </c>
      <c r="M40">
        <f>CLT[[#This Row],[3]]</f>
        <v>40</v>
      </c>
      <c r="N40">
        <f>IF(ISBLANK(CLT[[#This Row],[5]]),"",CLT[[#This Row],[5]])</f>
        <v>40</v>
      </c>
      <c r="O40">
        <f>IF(ISBLANK(CLT[[#This Row],[7]]),"",CLT[[#This Row],[7]])</f>
        <v>40</v>
      </c>
      <c r="P40" t="str">
        <f>IF(ISBLANK(CLT[[#This Row],[9]]),"",CLT[[#This Row],[9]])</f>
        <v/>
      </c>
      <c r="Q40"/>
      <c r="S40" s="3" t="str">
        <f t="shared" si="0"/>
        <v>40404040404040</v>
      </c>
    </row>
    <row r="41" spans="3:19" ht="15">
      <c r="C41" t="s">
        <v>786</v>
      </c>
      <c r="D41">
        <f>SUM(CLT[[#This Row],[9]:[9'']])</f>
        <v>280</v>
      </c>
      <c r="E41">
        <f>COUNT(CLT[[#This Row],[9]:[9'']])</f>
        <v>5</v>
      </c>
      <c r="F41" t="str">
        <f>_xlfn.CONCAT(D41, "mm-",CLT[[#This Row],[Layers]],"s", "-",H41," ",I41," ",J41," ",K41," ",L41," ",M41," ",N41," ",O41," ",P41)</f>
        <v xml:space="preserve">280mm-5s-  80 40 40 40 80  </v>
      </c>
      <c r="G41"/>
      <c r="H41"/>
      <c r="I41"/>
      <c r="J41">
        <v>80</v>
      </c>
      <c r="K41">
        <v>40</v>
      </c>
      <c r="L41">
        <v>40</v>
      </c>
      <c r="M41">
        <f>CLT[[#This Row],[3]]</f>
        <v>40</v>
      </c>
      <c r="N41">
        <f>IF(ISBLANK(CLT[[#This Row],[5]]),"",CLT[[#This Row],[5]])</f>
        <v>80</v>
      </c>
      <c r="O41" t="str">
        <f>IF(ISBLANK(CLT[[#This Row],[7]]),"",CLT[[#This Row],[7]])</f>
        <v/>
      </c>
      <c r="P41" t="str">
        <f>IF(ISBLANK(CLT[[#This Row],[9]]),"",CLT[[#This Row],[9]])</f>
        <v/>
      </c>
      <c r="Q41"/>
      <c r="S41" s="3" t="str">
        <f t="shared" si="0"/>
        <v>8040404080</v>
      </c>
    </row>
    <row r="42" spans="3:19" ht="15">
      <c r="C42" t="s">
        <v>787</v>
      </c>
      <c r="D42">
        <f>SUM(CLT[[#This Row],[9]:[9'']])</f>
        <v>297</v>
      </c>
      <c r="E42">
        <f>COUNT(CLT[[#This Row],[9]:[9'']])</f>
        <v>9</v>
      </c>
      <c r="F42" t="str">
        <f>_xlfn.CONCAT(D42, "mm-",CLT[[#This Row],[Layers]],"s", "-",H42," ",I42," ",J42," ",K42," ",L42," ",M42," ",N42," ",O42," ",P42)</f>
        <v>297mm-9s-33 33 33 33 33 33 33 33 33</v>
      </c>
      <c r="G42"/>
      <c r="H42">
        <v>33</v>
      </c>
      <c r="I42">
        <v>33</v>
      </c>
      <c r="J42">
        <v>33</v>
      </c>
      <c r="K42">
        <v>33</v>
      </c>
      <c r="L42">
        <v>33</v>
      </c>
      <c r="M42">
        <f>CLT[[#This Row],[3]]</f>
        <v>33</v>
      </c>
      <c r="N42">
        <f>IF(ISBLANK(CLT[[#This Row],[5]]),"",CLT[[#This Row],[5]])</f>
        <v>33</v>
      </c>
      <c r="O42">
        <f>IF(ISBLANK(CLT[[#This Row],[7]]),"",CLT[[#This Row],[7]])</f>
        <v>33</v>
      </c>
      <c r="P42">
        <f>IF(ISBLANK(CLT[[#This Row],[9]]),"",CLT[[#This Row],[9]])</f>
        <v>33</v>
      </c>
      <c r="Q42"/>
      <c r="R42" s="9"/>
      <c r="S42" s="3" t="str">
        <f t="shared" si="0"/>
        <v>333333333333333333</v>
      </c>
    </row>
    <row r="43" spans="3:19" ht="15">
      <c r="C43" t="s">
        <v>780</v>
      </c>
      <c r="D43">
        <f>SUM(CLT[[#This Row],[9]:[9'']])</f>
        <v>520</v>
      </c>
      <c r="E43">
        <f>COUNT(CLT[[#This Row],[9]:[9'']])</f>
        <v>9</v>
      </c>
      <c r="F43" t="str">
        <f>_xlfn.CONCAT(D43, "mm-",CLT[[#This Row],[Layers]],"s", "-",H43," ",I43," ",J43," ",K43," ",L43," ",M43," ",N43," ",O43," ",P43)</f>
        <v>520mm-9s-80 30 80 30 80 30 80 30 80</v>
      </c>
      <c r="G43"/>
      <c r="H43">
        <v>80</v>
      </c>
      <c r="I43">
        <v>30</v>
      </c>
      <c r="J43">
        <v>80</v>
      </c>
      <c r="K43">
        <v>30</v>
      </c>
      <c r="L43">
        <v>80</v>
      </c>
      <c r="M43">
        <f>CLT[[#This Row],[3]]</f>
        <v>30</v>
      </c>
      <c r="N43">
        <f>IF(ISBLANK(CLT[[#This Row],[5]]),"",CLT[[#This Row],[5]])</f>
        <v>80</v>
      </c>
      <c r="O43">
        <f>IF(ISBLANK(CLT[[#This Row],[7]]),"",CLT[[#This Row],[7]])</f>
        <v>30</v>
      </c>
      <c r="P43">
        <f>IF(ISBLANK(CLT[[#This Row],[9]]),"",CLT[[#This Row],[9]])</f>
        <v>80</v>
      </c>
      <c r="Q43"/>
      <c r="S43" s="3" t="str">
        <f t="shared" si="0"/>
        <v>803080308030803080</v>
      </c>
    </row>
    <row r="44" spans="3:19" ht="16.5">
      <c r="C44" t="s">
        <v>786</v>
      </c>
      <c r="D44">
        <f>SUM(CLT[[#This Row],[9]:[9'']])</f>
        <v>300</v>
      </c>
      <c r="E44">
        <f>COUNT(CLT[[#This Row],[9]:[9'']])</f>
        <v>7</v>
      </c>
      <c r="F44" t="str">
        <f>_xlfn.CONCAT(D44, "mm-",CLT[[#This Row],[Layers]],"s", "-",H44," ",I44," ",J44," ",K44," ",L44," ",M44," ",N44," ",O44," ",P44)</f>
        <v xml:space="preserve">300mm-7s- 80 20 40 20 40 20 80 </v>
      </c>
      <c r="G44"/>
      <c r="H44"/>
      <c r="I44">
        <v>80</v>
      </c>
      <c r="J44">
        <v>20</v>
      </c>
      <c r="K44">
        <v>40</v>
      </c>
      <c r="L44">
        <v>20</v>
      </c>
      <c r="M44">
        <f>CLT[[#This Row],[3]]</f>
        <v>40</v>
      </c>
      <c r="N44">
        <f>IF(ISBLANK(CLT[[#This Row],[5]]),"",CLT[[#This Row],[5]])</f>
        <v>20</v>
      </c>
      <c r="O44">
        <f>IF(ISBLANK(CLT[[#This Row],[7]]),"",CLT[[#This Row],[7]])</f>
        <v>80</v>
      </c>
      <c r="P44" t="str">
        <f>IF(ISBLANK(CLT[[#This Row],[9]]),"",CLT[[#This Row],[9]])</f>
        <v/>
      </c>
      <c r="Q44"/>
      <c r="R44" s="12"/>
      <c r="S44" s="3" t="str">
        <f t="shared" si="0"/>
        <v>80204020402080</v>
      </c>
    </row>
    <row r="45" spans="3:19" ht="16.5">
      <c r="C45" t="s">
        <v>788</v>
      </c>
      <c r="D45">
        <f>SUM(CLT[[#This Row],[9]:[9'']])</f>
        <v>320</v>
      </c>
      <c r="E45">
        <f>COUNT(CLT[[#This Row],[9]:[9'']])</f>
        <v>9</v>
      </c>
      <c r="F45" t="str">
        <f>_xlfn.CONCAT(D45, "mm-",CLT[[#This Row],[Layers]],"s", "-",H45," ",I45," ",J45," ",K45," ",L45," ",M45," ",N45," ",O45," ",P45)</f>
        <v>320mm-9s-40 30 40 30 40 30 40 30 40</v>
      </c>
      <c r="G45"/>
      <c r="H45">
        <v>40</v>
      </c>
      <c r="I45">
        <v>30</v>
      </c>
      <c r="J45">
        <v>40</v>
      </c>
      <c r="K45">
        <v>30</v>
      </c>
      <c r="L45">
        <v>40</v>
      </c>
      <c r="M45">
        <f>CLT[[#This Row],[3]]</f>
        <v>30</v>
      </c>
      <c r="N45">
        <f>IF(ISBLANK(CLT[[#This Row],[5]]),"",CLT[[#This Row],[5]])</f>
        <v>40</v>
      </c>
      <c r="O45">
        <f>IF(ISBLANK(CLT[[#This Row],[7]]),"",CLT[[#This Row],[7]])</f>
        <v>30</v>
      </c>
      <c r="P45">
        <f>IF(ISBLANK(CLT[[#This Row],[9]]),"",CLT[[#This Row],[9]])</f>
        <v>40</v>
      </c>
      <c r="Q45"/>
      <c r="R45" s="12"/>
      <c r="S45" s="3" t="str">
        <f t="shared" si="0"/>
        <v>403040304030403040</v>
      </c>
    </row>
    <row r="46" spans="3:19" ht="16.5">
      <c r="C46" t="s">
        <v>788</v>
      </c>
      <c r="D46">
        <f>SUM(CLT[[#This Row],[9]:[9'']])</f>
        <v>340</v>
      </c>
      <c r="E46">
        <f>COUNT(CLT[[#This Row],[9]:[9'']])</f>
        <v>9</v>
      </c>
      <c r="F46" t="str">
        <f>_xlfn.CONCAT(D46, "mm-",CLT[[#This Row],[Layers]],"s", "-",H46," ",I46," ",J46," ",K46," ",L46," ",M46," ",N46," ",O46," ",P46)</f>
        <v>340mm-9s-40 40 40 30 40 30 40 40 40</v>
      </c>
      <c r="G46"/>
      <c r="H46">
        <v>40</v>
      </c>
      <c r="I46">
        <v>40</v>
      </c>
      <c r="J46">
        <v>40</v>
      </c>
      <c r="K46">
        <v>30</v>
      </c>
      <c r="L46">
        <v>40</v>
      </c>
      <c r="M46">
        <f>CLT[[#This Row],[3]]</f>
        <v>30</v>
      </c>
      <c r="N46">
        <f>IF(ISBLANK(CLT[[#This Row],[5]]),"",CLT[[#This Row],[5]])</f>
        <v>40</v>
      </c>
      <c r="O46">
        <f>IF(ISBLANK(CLT[[#This Row],[7]]),"",CLT[[#This Row],[7]])</f>
        <v>40</v>
      </c>
      <c r="P46">
        <f>IF(ISBLANK(CLT[[#This Row],[9]]),"",CLT[[#This Row],[9]])</f>
        <v>40</v>
      </c>
      <c r="Q46"/>
      <c r="R46" s="12"/>
      <c r="S46" s="3" t="str">
        <f t="shared" si="0"/>
        <v>404040304030404040</v>
      </c>
    </row>
    <row r="47" spans="3:19" ht="16.5">
      <c r="C47" t="s">
        <v>788</v>
      </c>
      <c r="D47">
        <f>SUM(CLT[[#This Row],[9]:[9'']])</f>
        <v>360</v>
      </c>
      <c r="E47">
        <f>COUNT(CLT[[#This Row],[9]:[9'']])</f>
        <v>9</v>
      </c>
      <c r="F47" t="str">
        <f>_xlfn.CONCAT(D47, "mm-",CLT[[#This Row],[Layers]],"s", "-",H47," ",I47," ",J47," ",K47," ",L47," ",M47," ",N47," ",O47," ",P47)</f>
        <v>360mm-9s-40 40 40 40 40 40 40 40 40</v>
      </c>
      <c r="G47"/>
      <c r="H47">
        <v>40</v>
      </c>
      <c r="I47">
        <v>40</v>
      </c>
      <c r="J47">
        <v>40</v>
      </c>
      <c r="K47">
        <v>40</v>
      </c>
      <c r="L47">
        <v>40</v>
      </c>
      <c r="M47">
        <f>CLT[[#This Row],[3]]</f>
        <v>40</v>
      </c>
      <c r="N47">
        <f>IF(ISBLANK(CLT[[#This Row],[5]]),"",CLT[[#This Row],[5]])</f>
        <v>40</v>
      </c>
      <c r="O47">
        <f>IF(ISBLANK(CLT[[#This Row],[7]]),"",CLT[[#This Row],[7]])</f>
        <v>40</v>
      </c>
      <c r="P47">
        <f>IF(ISBLANK(CLT[[#This Row],[9]]),"",CLT[[#This Row],[9]])</f>
        <v>40</v>
      </c>
      <c r="Q47"/>
      <c r="R47" s="12"/>
      <c r="S47" s="3" t="str">
        <f t="shared" si="0"/>
        <v>404040404040404040</v>
      </c>
    </row>
    <row r="48" spans="3:19" ht="15">
      <c r="C48" s="133" t="s">
        <v>789</v>
      </c>
      <c r="D48">
        <f>SUM(CLT[[#This Row],[9]:[9'']])</f>
        <v>80</v>
      </c>
      <c r="E48">
        <f>COUNT(CLT[[#This Row],[9]:[9'']])</f>
        <v>3</v>
      </c>
      <c r="F48" t="str">
        <f>_xlfn.CONCAT(D48, "mm-",CLT[[#This Row],[Layers]],"s", "-",H48," ",I48," ",J48," ",K48," ",L48," ",M48," ",N48," ",O48," ",P48)</f>
        <v xml:space="preserve">80mm-3s-   30 20 30   </v>
      </c>
      <c r="G48"/>
      <c r="H48"/>
      <c r="I48"/>
      <c r="J48"/>
      <c r="K48">
        <v>30</v>
      </c>
      <c r="L48">
        <v>20</v>
      </c>
      <c r="M48">
        <f>CLT[[#This Row],[3]]</f>
        <v>30</v>
      </c>
      <c r="N48" t="str">
        <f>IF(ISBLANK(CLT[[#This Row],[5]]),"",CLT[[#This Row],[5]])</f>
        <v/>
      </c>
      <c r="O48" t="str">
        <f>IF(ISBLANK(CLT[[#This Row],[7]]),"",CLT[[#This Row],[7]])</f>
        <v/>
      </c>
      <c r="P48" t="str">
        <f>IF(ISBLANK(CLT[[#This Row],[9]]),"",CLT[[#This Row],[9]])</f>
        <v/>
      </c>
      <c r="Q48"/>
    </row>
    <row r="53" spans="3:16" ht="16.5" hidden="1">
      <c r="C53" s="7"/>
      <c r="D53" s="8"/>
      <c r="E53" s="8"/>
      <c r="F53" s="5"/>
      <c r="G53" s="5"/>
      <c r="H53" s="10"/>
      <c r="I53" s="10"/>
      <c r="J53" s="10"/>
      <c r="K53"/>
      <c r="L53"/>
      <c r="M53" s="11"/>
      <c r="N53" s="11"/>
      <c r="O53" s="11"/>
      <c r="P53" s="5"/>
    </row>
    <row r="54" spans="3:16" ht="16.5" hidden="1">
      <c r="C54" s="7"/>
      <c r="D54" s="8"/>
      <c r="E54" s="8"/>
      <c r="F54" s="5"/>
      <c r="G54" s="5"/>
      <c r="H54" s="10"/>
      <c r="I54" s="10"/>
      <c r="J54" s="10"/>
      <c r="K54"/>
      <c r="L54"/>
      <c r="M54" s="11"/>
      <c r="N54" s="11"/>
      <c r="O54" s="11"/>
      <c r="P54" s="5"/>
    </row>
    <row r="55" spans="3:16" ht="16.5" hidden="1">
      <c r="C55" s="7"/>
      <c r="D55" s="8"/>
      <c r="E55" s="8"/>
      <c r="F55" s="5"/>
      <c r="G55" s="5"/>
      <c r="H55" s="10"/>
      <c r="I55" s="10"/>
      <c r="J55" s="10"/>
      <c r="K55"/>
      <c r="L55"/>
      <c r="M55" s="11"/>
      <c r="N55" s="11"/>
      <c r="O55" s="11"/>
      <c r="P55" s="5"/>
    </row>
    <row r="56" spans="3:16"/>
    <row r="57" spans="3:16"/>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5791BAE553E54299A2D7AB66547121" ma:contentTypeVersion="38" ma:contentTypeDescription="Create a new document." ma:contentTypeScope="" ma:versionID="220e32e5b09dc3ccd87d47028a4f94de">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31c122fbb780ab5c22b33e1c107b9a49"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element ref="ns3:Productline" minOccurs="0"/>
                <xsd:element ref="ns2:PrimeClassificationStatus" minOccurs="0"/>
                <xsd:element ref="ns2:PrimeClassificationStatusDetails" minOccurs="0"/>
                <xsd:element ref="ns2:PrimeLastClassified" minOccurs="0"/>
                <xsd:element ref="ns2:PrimeCorrectedByUser" minOccurs="0"/>
                <xsd:element ref="ns2:PrimeAutofillMeta" minOccurs="0"/>
                <xsd:element ref="ns3:Shortdescrption" minOccurs="0"/>
                <xsd:element ref="ns3:Responsabileanalisicartella" minOccurs="0"/>
                <xsd:element ref="ns3:Classificazione" minOccurs="0"/>
                <xsd:element ref="ns3:Dataautomaticapresuntadelfile" minOccurs="0"/>
                <xsd:element ref="ns3:long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Shared With Details" ma:internalName="SharedWithDetails" ma:readOnly="true">
      <xsd:simpleType>
        <xsd:restriction base="dms:Note">
          <xsd:maxLength value="255"/>
        </xsd:restriction>
      </xsd:simpleType>
    </xsd:element>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element name="PrimeClassificationStatus" ma:index="31" nillable="true" ma:displayName="Processing status" ma:internalName="PrimeClassificationStatus">
      <xsd:simpleType>
        <xsd:restriction base="dms:Text"/>
      </xsd:simpleType>
    </xsd:element>
    <xsd:element name="PrimeClassificationStatusDetails" ma:index="32" nillable="true" ma:displayName="Processing details" ma:internalName="PrimeClassificationStatusDetails">
      <xsd:simpleType>
        <xsd:restriction base="dms:Note">
          <xsd:maxLength value="255"/>
        </xsd:restriction>
      </xsd:simpleType>
    </xsd:element>
    <xsd:element name="PrimeLastClassified" ma:index="33" nillable="true" ma:displayName="Processed" ma:internalName="PrimeLastClassified">
      <xsd:simpleType>
        <xsd:restriction base="dms:DateTime"/>
      </xsd:simpleType>
    </xsd:element>
    <xsd:element name="PrimeCorrectedByUser" ma:index="34" nillable="true" ma:displayName="Corrected" ma:internalName="PrimeCorrectedByUser">
      <xsd:simpleType>
        <xsd:restriction base="dms:Boolean"/>
      </xsd:simpleType>
    </xsd:element>
    <xsd:element name="PrimeAutofillMeta" ma:index="35" nillable="true" ma:displayName="Autofill Meta" ma:hidden="true" ma:internalName="PrimeAutofillMe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Productline" ma:index="30" nillable="true" ma:displayName="Product line " ma:format="Dropdown" ma:internalName="Productline">
      <xsd:complexType>
        <xsd:complexContent>
          <xsd:extension base="dms:MultiChoice">
            <xsd:sequence>
              <xsd:element name="Value" maxOccurs="unbounded" minOccurs="0" nillable="true">
                <xsd:simpleType>
                  <xsd:restriction base="dms:Choice">
                    <xsd:enumeration value="In use"/>
                    <xsd:enumeration value="OLD"/>
                    <xsd:enumeration value="To be checked"/>
                    <xsd:enumeration value="Ancora da controllare"/>
                    <xsd:enumeration value="Scelta 5"/>
                  </xsd:restriction>
                </xsd:simpleType>
              </xsd:element>
            </xsd:sequence>
          </xsd:extension>
        </xsd:complexContent>
      </xsd:complexType>
    </xsd:element>
    <xsd:element name="Shortdescrption" ma:index="36" nillable="true" ma:displayName="Short descrption" ma:format="Dropdown" ma:internalName="Shortdescrption">
      <xsd:simpleType>
        <xsd:restriction base="dms:Text">
          <xsd:maxLength value="255"/>
        </xsd:restriction>
      </xsd:simpleType>
    </xsd:element>
    <xsd:element name="Responsabileanalisicartella" ma:index="37" nillable="true" ma:displayName="Responsabile analisi cartella" ma:format="Dropdown" ma:list="UserInfo" ma:SharePointGroup="0" ma:internalName="Responsabileanalisicartell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lassificazione" ma:index="38" nillable="true" ma:displayName="Classificazione" ma:format="Dropdown" ma:internalName="Classificazione">
      <xsd:complexType>
        <xsd:complexContent>
          <xsd:extension base="dms:MultiChoice">
            <xsd:sequence>
              <xsd:element name="Value" maxOccurs="unbounded" minOccurs="0" nillable="true">
                <xsd:simpleType>
                  <xsd:restriction base="dms:Choice">
                    <xsd:enumeration value="Archivio knowledge"/>
                    <xsd:enumeration value="Spostare"/>
                    <xsd:enumeration value="Old/Cestinare"/>
                    <xsd:enumeration value="Organizzativo"/>
                  </xsd:restriction>
                </xsd:simpleType>
              </xsd:element>
            </xsd:sequence>
          </xsd:extension>
        </xsd:complexContent>
      </xsd:complexType>
    </xsd:element>
    <xsd:element name="Dataautomaticapresuntadelfile" ma:index="39" nillable="true" ma:displayName="Data automatica presunta del file " ma:format="Dropdown" ma:internalName="Dataautomaticapresuntadelfile">
      <xsd:simpleType>
        <xsd:restriction base="dms:Text">
          <xsd:maxLength value="255"/>
        </xsd:restriction>
      </xsd:simpleType>
    </xsd:element>
    <xsd:element name="longDescription" ma:index="40" nillable="true" ma:displayName="long Description" ma:format="Dropdown" ma:internalName="long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1a907e-b217-416b-8f3e-9f31b26bbae2">
      <Terms xmlns="http://schemas.microsoft.com/office/infopath/2007/PartnerControls"/>
    </lcf76f155ced4ddcb4097134ff3c332f>
    <TaxCatchAll xmlns="4ac9669e-3ecc-4027-9c07-5729b88496eb" xsi:nil="true"/>
    <_Flow_SignoffStatus xmlns="f71a907e-b217-416b-8f3e-9f31b26bbae2" xsi:nil="true"/>
    <Availability xmlns="f71a907e-b217-416b-8f3e-9f31b26bbae2" xsi:nil="true"/>
    <Fase xmlns="f71a907e-b217-416b-8f3e-9f31b26bbae2">Preparazione</Fase>
    <PrimeClassificationStatusDetails xmlns="4ac9669e-3ecc-4027-9c07-5729b88496eb" xsi:nil="true"/>
    <PrimeAutofillMeta xmlns="4ac9669e-3ecc-4027-9c07-5729b88496eb" xsi:nil="true"/>
    <PrimeLastClassified xmlns="4ac9669e-3ecc-4027-9c07-5729b88496eb" xsi:nil="true"/>
    <PrimeCorrectedByUser xmlns="4ac9669e-3ecc-4027-9c07-5729b88496eb" xsi:nil="true"/>
    <PrimeClassificationStatus xmlns="4ac9669e-3ecc-4027-9c07-5729b88496eb" xsi:nil="true"/>
    <Productline xmlns="f71a907e-b217-416b-8f3e-9f31b26bbae2" xsi:nil="true"/>
    <Shortdescrption xmlns="f71a907e-b217-416b-8f3e-9f31b26bbae2" xsi:nil="true"/>
    <Dataautomaticapresuntadelfile xmlns="f71a907e-b217-416b-8f3e-9f31b26bbae2" xsi:nil="true"/>
    <longDescription xmlns="f71a907e-b217-416b-8f3e-9f31b26bbae2" xsi:nil="true"/>
    <Classificazione xmlns="f71a907e-b217-416b-8f3e-9f31b26bbae2" xsi:nil="true"/>
    <Responsabileanalisicartella xmlns="f71a907e-b217-416b-8f3e-9f31b26bbae2">
      <UserInfo>
        <DisplayName/>
        <AccountId xsi:nil="true"/>
        <AccountType/>
      </UserInfo>
    </Responsabileanalisicartella>
  </documentManagement>
</p:properties>
</file>

<file path=customXml/itemProps1.xml><?xml version="1.0" encoding="utf-8"?>
<ds:datastoreItem xmlns:ds="http://schemas.openxmlformats.org/officeDocument/2006/customXml" ds:itemID="{FF286E05-AB17-4600-9403-5C1F18375853}"/>
</file>

<file path=customXml/itemProps2.xml><?xml version="1.0" encoding="utf-8"?>
<ds:datastoreItem xmlns:ds="http://schemas.openxmlformats.org/officeDocument/2006/customXml" ds:itemID="{38304519-35C4-4BB3-B3E5-97F741C96AD8}"/>
</file>

<file path=customXml/itemProps3.xml><?xml version="1.0" encoding="utf-8"?>
<ds:datastoreItem xmlns:ds="http://schemas.openxmlformats.org/officeDocument/2006/customXml" ds:itemID="{34C097C5-1DAB-4F88-A07D-6ED81C35D5B2}"/>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Rotho</dc:creator>
  <cp:keywords/>
  <dc:description/>
  <cp:lastModifiedBy>Damiano Sommavilla</cp:lastModifiedBy>
  <cp:revision/>
  <dcterms:created xsi:type="dcterms:W3CDTF">2013-03-18T10:34:35Z</dcterms:created>
  <dcterms:modified xsi:type="dcterms:W3CDTF">2026-08-31T13:12:56Z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y fmtid="{D5CDD505-2E9C-101B-9397-08002B2CF9AE}" pid="4" name="Accettato">
    <vt:bool>false</vt:bool>
  </property>
</Properties>
</file>